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tente\Desktop\Desktop\PROGETTO TOKEN\SITO\hynora_site\docs\"/>
    </mc:Choice>
  </mc:AlternateContent>
  <xr:revisionPtr revIDLastSave="0" documentId="8_{045ED605-D49D-4D84-BC0C-C1B8F6DBB741}" xr6:coauthVersionLast="47" xr6:coauthVersionMax="47" xr10:uidLastSave="{00000000-0000-0000-0000-000000000000}"/>
  <bookViews>
    <workbookView xWindow="2370" yWindow="450" windowWidth="16230" windowHeight="10290" activeTab="2" xr2:uid="{3C481ACA-2D0C-46F5-BBCF-B1BC94E0D2CB}"/>
  </bookViews>
  <sheets>
    <sheet name="PREMI" sheetId="22" r:id="rId1"/>
    <sheet name="VALORI" sheetId="20" r:id="rId2"/>
    <sheet name="TAB-01" sheetId="23" r:id="rId3"/>
    <sheet name="TAB-02" sheetId="24" r:id="rId4"/>
    <sheet name="TAB-03" sheetId="25" r:id="rId5"/>
    <sheet name="TAB-04" sheetId="27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8" i="20" l="1"/>
  <c r="I27" i="20"/>
  <c r="I26" i="20"/>
  <c r="I25" i="20"/>
  <c r="I19" i="20"/>
  <c r="I18" i="20"/>
  <c r="I17" i="20"/>
  <c r="I16" i="20"/>
  <c r="J28" i="20"/>
  <c r="J19" i="20"/>
  <c r="J10" i="20"/>
  <c r="H19" i="20"/>
  <c r="H18" i="20"/>
  <c r="H17" i="20"/>
  <c r="H16" i="20"/>
  <c r="H28" i="20"/>
  <c r="H27" i="20"/>
  <c r="H26" i="20"/>
  <c r="H25" i="20"/>
  <c r="H10" i="20"/>
  <c r="H9" i="20"/>
  <c r="H8" i="20"/>
  <c r="H7" i="20"/>
  <c r="I7" i="20"/>
  <c r="I10" i="20"/>
  <c r="I9" i="20"/>
  <c r="I8" i="20"/>
  <c r="D11" i="25"/>
  <c r="D19" i="25"/>
  <c r="H29" i="27"/>
  <c r="H28" i="27"/>
  <c r="I28" i="27" s="1"/>
  <c r="H29" i="25"/>
  <c r="H29" i="24"/>
  <c r="H28" i="24"/>
  <c r="I28" i="24" s="1"/>
  <c r="I28" i="22"/>
  <c r="D27" i="24"/>
  <c r="D19" i="24"/>
  <c r="D11" i="24"/>
  <c r="D27" i="25"/>
  <c r="C23" i="25"/>
  <c r="C24" i="25" s="1"/>
  <c r="A23" i="25"/>
  <c r="B23" i="25" s="1"/>
  <c r="C23" i="24"/>
  <c r="C24" i="24" s="1"/>
  <c r="C25" i="24" s="1"/>
  <c r="C26" i="24" s="1"/>
  <c r="A23" i="24"/>
  <c r="B23" i="24" s="1"/>
  <c r="B25" i="27"/>
  <c r="D27" i="27"/>
  <c r="D19" i="27"/>
  <c r="L15" i="27"/>
  <c r="E15" i="27"/>
  <c r="F15" i="27" s="1"/>
  <c r="A13" i="27"/>
  <c r="D11" i="27"/>
  <c r="C8" i="27"/>
  <c r="C9" i="27" s="1"/>
  <c r="C10" i="27" s="1"/>
  <c r="C15" i="27" s="1"/>
  <c r="L7" i="27"/>
  <c r="E7" i="27"/>
  <c r="F7" i="27" s="1"/>
  <c r="B7" i="27"/>
  <c r="H6" i="27"/>
  <c r="A5" i="27"/>
  <c r="D27" i="22"/>
  <c r="D19" i="22"/>
  <c r="D11" i="22"/>
  <c r="N7" i="22" s="1"/>
  <c r="L7" i="22"/>
  <c r="N23" i="25"/>
  <c r="N23" i="24"/>
  <c r="L15" i="25"/>
  <c r="E15" i="25"/>
  <c r="F15" i="25" s="1"/>
  <c r="A13" i="25"/>
  <c r="C9" i="25"/>
  <c r="C10" i="25" s="1"/>
  <c r="C8" i="25"/>
  <c r="L7" i="25"/>
  <c r="E7" i="25"/>
  <c r="H6" i="25"/>
  <c r="A5" i="25"/>
  <c r="B7" i="25" s="1"/>
  <c r="L15" i="24"/>
  <c r="E15" i="24"/>
  <c r="A13" i="24"/>
  <c r="C10" i="24"/>
  <c r="C15" i="24" s="1"/>
  <c r="C16" i="24" s="1"/>
  <c r="C17" i="24" s="1"/>
  <c r="C9" i="24"/>
  <c r="C8" i="24"/>
  <c r="N7" i="24"/>
  <c r="L7" i="24"/>
  <c r="E7" i="24"/>
  <c r="E8" i="24" s="1"/>
  <c r="B7" i="24"/>
  <c r="B8" i="24" s="1"/>
  <c r="B9" i="24" s="1"/>
  <c r="B10" i="24" s="1"/>
  <c r="H6" i="24"/>
  <c r="A5" i="24"/>
  <c r="D28" i="25" l="1"/>
  <c r="H28" i="25" s="1"/>
  <c r="I28" i="25" s="1"/>
  <c r="D28" i="24"/>
  <c r="J23" i="25"/>
  <c r="A24" i="25"/>
  <c r="E23" i="25"/>
  <c r="N24" i="25"/>
  <c r="C25" i="25"/>
  <c r="C26" i="25" s="1"/>
  <c r="J23" i="24"/>
  <c r="A24" i="24" s="1"/>
  <c r="E23" i="24"/>
  <c r="D28" i="27"/>
  <c r="E16" i="27"/>
  <c r="F16" i="27" s="1"/>
  <c r="G16" i="27" s="1"/>
  <c r="N7" i="27"/>
  <c r="B15" i="27"/>
  <c r="B16" i="27" s="1"/>
  <c r="B17" i="27" s="1"/>
  <c r="B18" i="27" s="1"/>
  <c r="E8" i="27"/>
  <c r="F8" i="27" s="1"/>
  <c r="N15" i="27"/>
  <c r="C16" i="27"/>
  <c r="C17" i="27" s="1"/>
  <c r="C18" i="27" s="1"/>
  <c r="C23" i="27" s="1"/>
  <c r="C24" i="27" s="1"/>
  <c r="C25" i="27" s="1"/>
  <c r="C26" i="27" s="1"/>
  <c r="N26" i="27" s="1"/>
  <c r="M15" i="27"/>
  <c r="G15" i="27"/>
  <c r="H17" i="27" s="1"/>
  <c r="G7" i="27"/>
  <c r="G8" i="27"/>
  <c r="B8" i="27"/>
  <c r="B9" i="27" s="1"/>
  <c r="B10" i="27" s="1"/>
  <c r="N10" i="27"/>
  <c r="N24" i="27"/>
  <c r="N25" i="27"/>
  <c r="H8" i="27"/>
  <c r="M8" i="27" s="1"/>
  <c r="E9" i="27"/>
  <c r="N9" i="27"/>
  <c r="H16" i="27"/>
  <c r="E17" i="27"/>
  <c r="N17" i="27"/>
  <c r="N8" i="27"/>
  <c r="N8" i="22"/>
  <c r="N9" i="22"/>
  <c r="N10" i="22"/>
  <c r="D28" i="22"/>
  <c r="N25" i="24"/>
  <c r="N26" i="24"/>
  <c r="N24" i="24"/>
  <c r="E16" i="25"/>
  <c r="B15" i="25"/>
  <c r="B16" i="25" s="1"/>
  <c r="B17" i="25" s="1"/>
  <c r="B18" i="25" s="1"/>
  <c r="B8" i="25"/>
  <c r="B9" i="25" s="1"/>
  <c r="B10" i="25" s="1"/>
  <c r="C15" i="25"/>
  <c r="C16" i="25" s="1"/>
  <c r="N10" i="25"/>
  <c r="G15" i="25"/>
  <c r="N9" i="25"/>
  <c r="M15" i="25"/>
  <c r="E8" i="25"/>
  <c r="N8" i="25"/>
  <c r="N15" i="25"/>
  <c r="F7" i="25"/>
  <c r="N7" i="25"/>
  <c r="F15" i="24"/>
  <c r="E16" i="24"/>
  <c r="E9" i="24"/>
  <c r="F8" i="24"/>
  <c r="C18" i="24"/>
  <c r="N17" i="24"/>
  <c r="F7" i="24"/>
  <c r="N9" i="24"/>
  <c r="B15" i="24"/>
  <c r="B16" i="24" s="1"/>
  <c r="B17" i="24" s="1"/>
  <c r="B18" i="24" s="1"/>
  <c r="N16" i="24"/>
  <c r="N10" i="24"/>
  <c r="N8" i="24"/>
  <c r="N15" i="24"/>
  <c r="N27" i="24" l="1"/>
  <c r="I23" i="25"/>
  <c r="F23" i="25"/>
  <c r="E24" i="25"/>
  <c r="B24" i="25"/>
  <c r="B24" i="24"/>
  <c r="I23" i="24"/>
  <c r="F23" i="24"/>
  <c r="M16" i="27"/>
  <c r="N11" i="27"/>
  <c r="I8" i="27"/>
  <c r="J8" i="27" s="1"/>
  <c r="F9" i="27"/>
  <c r="E10" i="27"/>
  <c r="N16" i="27"/>
  <c r="N19" i="27" s="1"/>
  <c r="F17" i="27"/>
  <c r="E18" i="27"/>
  <c r="N23" i="27"/>
  <c r="N27" i="27" s="1"/>
  <c r="H9" i="27"/>
  <c r="M7" i="27"/>
  <c r="I7" i="27"/>
  <c r="J7" i="27" s="1"/>
  <c r="N18" i="27"/>
  <c r="L23" i="25"/>
  <c r="N25" i="25"/>
  <c r="N26" i="25"/>
  <c r="F16" i="25"/>
  <c r="E17" i="25"/>
  <c r="G7" i="25"/>
  <c r="N11" i="25"/>
  <c r="F8" i="25"/>
  <c r="G8" i="25" s="1"/>
  <c r="E9" i="25"/>
  <c r="I15" i="25"/>
  <c r="J15" i="25" s="1"/>
  <c r="H16" i="25"/>
  <c r="C17" i="25"/>
  <c r="N16" i="25"/>
  <c r="N11" i="24"/>
  <c r="N18" i="24"/>
  <c r="N19" i="24" s="1"/>
  <c r="F9" i="24"/>
  <c r="G9" i="24" s="1"/>
  <c r="E10" i="24"/>
  <c r="M15" i="24"/>
  <c r="G15" i="24"/>
  <c r="G7" i="24"/>
  <c r="G8" i="24"/>
  <c r="F16" i="24"/>
  <c r="E17" i="24"/>
  <c r="C28" i="20"/>
  <c r="C27" i="20"/>
  <c r="C26" i="20"/>
  <c r="F26" i="20" s="1"/>
  <c r="C25" i="20"/>
  <c r="F25" i="20" s="1"/>
  <c r="C19" i="20"/>
  <c r="F19" i="20" s="1"/>
  <c r="C18" i="20"/>
  <c r="F18" i="20" s="1"/>
  <c r="C17" i="20"/>
  <c r="F17" i="20" s="1"/>
  <c r="C16" i="20"/>
  <c r="C10" i="20"/>
  <c r="F10" i="20" s="1"/>
  <c r="C9" i="20"/>
  <c r="F9" i="20" s="1"/>
  <c r="C8" i="20"/>
  <c r="F8" i="20" s="1"/>
  <c r="C7" i="20"/>
  <c r="L15" i="22"/>
  <c r="E15" i="22"/>
  <c r="F15" i="22" s="1"/>
  <c r="A13" i="22"/>
  <c r="A14" i="20" s="1"/>
  <c r="C8" i="22"/>
  <c r="C9" i="22" s="1"/>
  <c r="C10" i="22" s="1"/>
  <c r="E7" i="22"/>
  <c r="F7" i="22" s="1"/>
  <c r="B7" i="22"/>
  <c r="H6" i="22"/>
  <c r="A5" i="22"/>
  <c r="A5" i="20" s="1"/>
  <c r="B8" i="20"/>
  <c r="B9" i="20" s="1"/>
  <c r="B10" i="20" s="1"/>
  <c r="B16" i="20" s="1"/>
  <c r="B17" i="20" s="1"/>
  <c r="B18" i="20" s="1"/>
  <c r="B19" i="20" s="1"/>
  <c r="B25" i="20" s="1"/>
  <c r="B26" i="20" s="1"/>
  <c r="B27" i="20" s="1"/>
  <c r="B28" i="20" s="1"/>
  <c r="I24" i="25" l="1"/>
  <c r="G23" i="25"/>
  <c r="J24" i="25"/>
  <c r="A25" i="25" s="1"/>
  <c r="F24" i="25"/>
  <c r="G24" i="25" s="1"/>
  <c r="G23" i="24"/>
  <c r="J24" i="24"/>
  <c r="A25" i="24" s="1"/>
  <c r="F24" i="24"/>
  <c r="E24" i="24"/>
  <c r="F10" i="27"/>
  <c r="M17" i="27"/>
  <c r="G17" i="27"/>
  <c r="M9" i="27"/>
  <c r="G10" i="27"/>
  <c r="G9" i="27"/>
  <c r="F18" i="27"/>
  <c r="G18" i="27" s="1"/>
  <c r="M23" i="25"/>
  <c r="N27" i="25"/>
  <c r="E18" i="25"/>
  <c r="F18" i="25" s="1"/>
  <c r="F17" i="25"/>
  <c r="G16" i="25"/>
  <c r="I16" i="25" s="1"/>
  <c r="J16" i="25" s="1"/>
  <c r="M16" i="25"/>
  <c r="H17" i="25"/>
  <c r="F9" i="25"/>
  <c r="E10" i="25"/>
  <c r="C18" i="25"/>
  <c r="N17" i="25"/>
  <c r="M8" i="25"/>
  <c r="M7" i="25"/>
  <c r="H8" i="25"/>
  <c r="I8" i="25" s="1"/>
  <c r="J8" i="25" s="1"/>
  <c r="H9" i="25"/>
  <c r="I7" i="25"/>
  <c r="J7" i="25" s="1"/>
  <c r="F10" i="24"/>
  <c r="H16" i="24"/>
  <c r="M16" i="24" s="1"/>
  <c r="I15" i="24"/>
  <c r="J15" i="24" s="1"/>
  <c r="E18" i="24"/>
  <c r="F17" i="24"/>
  <c r="M7" i="24"/>
  <c r="I7" i="24"/>
  <c r="J7" i="24" s="1"/>
  <c r="H8" i="24"/>
  <c r="M8" i="24" s="1"/>
  <c r="G16" i="24"/>
  <c r="I16" i="24" s="1"/>
  <c r="J16" i="24" s="1"/>
  <c r="B15" i="22"/>
  <c r="B16" i="22" s="1"/>
  <c r="B17" i="22" s="1"/>
  <c r="B18" i="22" s="1"/>
  <c r="B8" i="22"/>
  <c r="B9" i="22" s="1"/>
  <c r="B10" i="22" s="1"/>
  <c r="C15" i="22"/>
  <c r="C16" i="22" s="1"/>
  <c r="C17" i="22" s="1"/>
  <c r="G15" i="22"/>
  <c r="H16" i="22" s="1"/>
  <c r="M15" i="22"/>
  <c r="E16" i="22"/>
  <c r="E8" i="22"/>
  <c r="F7" i="20"/>
  <c r="C29" i="20"/>
  <c r="C20" i="20"/>
  <c r="F16" i="20"/>
  <c r="F20" i="20" s="1"/>
  <c r="I20" i="20" s="1"/>
  <c r="C11" i="20"/>
  <c r="B25" i="24" l="1"/>
  <c r="B25" i="25"/>
  <c r="H24" i="25"/>
  <c r="H25" i="25" s="1"/>
  <c r="I24" i="24"/>
  <c r="H24" i="24"/>
  <c r="G24" i="24"/>
  <c r="J25" i="24"/>
  <c r="F25" i="24"/>
  <c r="I9" i="27"/>
  <c r="J9" i="27" s="1"/>
  <c r="H10" i="27"/>
  <c r="L8" i="27" s="1"/>
  <c r="H18" i="27"/>
  <c r="L16" i="27" s="1"/>
  <c r="N16" i="22"/>
  <c r="N15" i="22"/>
  <c r="G18" i="25"/>
  <c r="G17" i="25"/>
  <c r="I17" i="25" s="1"/>
  <c r="J17" i="25" s="1"/>
  <c r="M17" i="25"/>
  <c r="N18" i="25"/>
  <c r="N19" i="25" s="1"/>
  <c r="M9" i="25"/>
  <c r="G9" i="25"/>
  <c r="F10" i="25"/>
  <c r="G10" i="25" s="1"/>
  <c r="H17" i="24"/>
  <c r="G10" i="24"/>
  <c r="M17" i="24"/>
  <c r="G17" i="24"/>
  <c r="I8" i="24"/>
  <c r="J8" i="24" s="1"/>
  <c r="F18" i="24"/>
  <c r="G18" i="24" s="1"/>
  <c r="H9" i="24"/>
  <c r="H10" i="24" s="1"/>
  <c r="N11" i="22"/>
  <c r="F16" i="22"/>
  <c r="E17" i="22"/>
  <c r="G7" i="22"/>
  <c r="M7" i="22" s="1"/>
  <c r="F8" i="22"/>
  <c r="E9" i="22"/>
  <c r="C18" i="22"/>
  <c r="N17" i="22"/>
  <c r="C12" i="20"/>
  <c r="C21" i="20"/>
  <c r="C30" i="20" s="1"/>
  <c r="F27" i="20"/>
  <c r="F11" i="20"/>
  <c r="A26" i="24" l="1"/>
  <c r="B26" i="24" s="1"/>
  <c r="E25" i="24"/>
  <c r="B26" i="25"/>
  <c r="J25" i="25"/>
  <c r="E25" i="25"/>
  <c r="M24" i="25"/>
  <c r="A26" i="25"/>
  <c r="J26" i="24"/>
  <c r="J27" i="24" s="1"/>
  <c r="F26" i="24"/>
  <c r="G26" i="24" s="1"/>
  <c r="H25" i="24"/>
  <c r="I25" i="24"/>
  <c r="E26" i="24"/>
  <c r="G25" i="24"/>
  <c r="M18" i="27"/>
  <c r="M19" i="27" s="1"/>
  <c r="L10" i="27"/>
  <c r="L9" i="27"/>
  <c r="M10" i="27"/>
  <c r="M11" i="27" s="1"/>
  <c r="I10" i="27"/>
  <c r="I17" i="27" s="1"/>
  <c r="J17" i="27" s="1"/>
  <c r="L17" i="27"/>
  <c r="L18" i="27"/>
  <c r="H18" i="25"/>
  <c r="L16" i="25" s="1"/>
  <c r="L17" i="25" s="1"/>
  <c r="H10" i="25"/>
  <c r="L8" i="25" s="1"/>
  <c r="I9" i="25"/>
  <c r="J9" i="25" s="1"/>
  <c r="L8" i="24"/>
  <c r="M10" i="24"/>
  <c r="I17" i="24"/>
  <c r="J17" i="24" s="1"/>
  <c r="H18" i="24"/>
  <c r="L16" i="24" s="1"/>
  <c r="L17" i="24" s="1"/>
  <c r="I9" i="24"/>
  <c r="J9" i="24" s="1"/>
  <c r="M9" i="24"/>
  <c r="I10" i="24"/>
  <c r="G8" i="22"/>
  <c r="C23" i="22"/>
  <c r="N23" i="22" s="1"/>
  <c r="N18" i="22"/>
  <c r="N19" i="22" s="1"/>
  <c r="H8" i="22"/>
  <c r="M8" i="22" s="1"/>
  <c r="I7" i="22"/>
  <c r="E18" i="22"/>
  <c r="F17" i="22"/>
  <c r="G17" i="22" s="1"/>
  <c r="F9" i="22"/>
  <c r="E10" i="22"/>
  <c r="M16" i="22"/>
  <c r="G16" i="22"/>
  <c r="F12" i="20"/>
  <c r="F21" i="20"/>
  <c r="I21" i="20" s="1"/>
  <c r="H26" i="24" l="1"/>
  <c r="E26" i="25"/>
  <c r="I25" i="25"/>
  <c r="F25" i="25"/>
  <c r="J26" i="25"/>
  <c r="J27" i="25" s="1"/>
  <c r="G27" i="24"/>
  <c r="H27" i="24"/>
  <c r="E27" i="24"/>
  <c r="I26" i="24"/>
  <c r="I27" i="24" s="1"/>
  <c r="I15" i="27"/>
  <c r="J15" i="27" s="1"/>
  <c r="I16" i="27"/>
  <c r="J16" i="27" s="1"/>
  <c r="J10" i="27"/>
  <c r="I18" i="27"/>
  <c r="I19" i="27" s="1"/>
  <c r="I11" i="27"/>
  <c r="A21" i="27"/>
  <c r="M18" i="25"/>
  <c r="M19" i="25" s="1"/>
  <c r="L9" i="25"/>
  <c r="L10" i="25"/>
  <c r="L18" i="25" s="1"/>
  <c r="M10" i="25"/>
  <c r="I10" i="25"/>
  <c r="L9" i="24"/>
  <c r="L10" i="24"/>
  <c r="L18" i="24" s="1"/>
  <c r="M18" i="24"/>
  <c r="M19" i="24" s="1"/>
  <c r="I11" i="24"/>
  <c r="J10" i="24"/>
  <c r="M11" i="24"/>
  <c r="I18" i="24"/>
  <c r="H9" i="22"/>
  <c r="M9" i="22" s="1"/>
  <c r="J7" i="22"/>
  <c r="D7" i="20"/>
  <c r="E7" i="20" s="1"/>
  <c r="G7" i="20" s="1"/>
  <c r="G9" i="22"/>
  <c r="I8" i="22"/>
  <c r="F18" i="22"/>
  <c r="G18" i="22" s="1"/>
  <c r="C24" i="22"/>
  <c r="N24" i="22" s="1"/>
  <c r="H17" i="22"/>
  <c r="M17" i="22" s="1"/>
  <c r="F10" i="22"/>
  <c r="G25" i="25" l="1"/>
  <c r="M25" i="25"/>
  <c r="F26" i="25"/>
  <c r="E27" i="25"/>
  <c r="I26" i="25"/>
  <c r="I27" i="25" s="1"/>
  <c r="J18" i="27"/>
  <c r="A23" i="27"/>
  <c r="B23" i="27" s="1"/>
  <c r="G10" i="22"/>
  <c r="I11" i="25"/>
  <c r="J10" i="25"/>
  <c r="I18" i="25"/>
  <c r="A21" i="25"/>
  <c r="M11" i="25"/>
  <c r="A21" i="24"/>
  <c r="I19" i="24"/>
  <c r="J18" i="24"/>
  <c r="J8" i="22"/>
  <c r="D8" i="20"/>
  <c r="E8" i="20" s="1"/>
  <c r="G8" i="20" s="1"/>
  <c r="H18" i="22"/>
  <c r="L16" i="22" s="1"/>
  <c r="C25" i="22"/>
  <c r="N25" i="22" s="1"/>
  <c r="I9" i="22"/>
  <c r="J9" i="22" s="1"/>
  <c r="H10" i="22"/>
  <c r="L8" i="22" s="1"/>
  <c r="L17" i="22" l="1"/>
  <c r="H27" i="25"/>
  <c r="H26" i="25"/>
  <c r="L24" i="25" s="1"/>
  <c r="G26" i="25"/>
  <c r="G27" i="25" s="1"/>
  <c r="J23" i="27"/>
  <c r="A24" i="27" s="1"/>
  <c r="B24" i="27" s="1"/>
  <c r="E23" i="27"/>
  <c r="J18" i="25"/>
  <c r="I19" i="25"/>
  <c r="D9" i="20"/>
  <c r="M10" i="22"/>
  <c r="C26" i="22"/>
  <c r="N26" i="22" s="1"/>
  <c r="M18" i="22"/>
  <c r="M19" i="22" s="1"/>
  <c r="I10" i="22"/>
  <c r="D10" i="20" s="1"/>
  <c r="E10" i="20" s="1"/>
  <c r="G10" i="20" s="1"/>
  <c r="L9" i="22"/>
  <c r="L10" i="22"/>
  <c r="L18" i="22" s="1"/>
  <c r="L28" i="25" l="1"/>
  <c r="L26" i="25"/>
  <c r="L25" i="25"/>
  <c r="L27" i="25"/>
  <c r="M26" i="25"/>
  <c r="L23" i="27"/>
  <c r="F23" i="27"/>
  <c r="E24" i="27"/>
  <c r="I23" i="27"/>
  <c r="J24" i="27"/>
  <c r="A25" i="27" s="1"/>
  <c r="L23" i="24"/>
  <c r="M23" i="24"/>
  <c r="I18" i="22"/>
  <c r="I19" i="22" s="1"/>
  <c r="I11" i="22"/>
  <c r="J10" i="22"/>
  <c r="I15" i="22"/>
  <c r="I16" i="22"/>
  <c r="I17" i="22"/>
  <c r="J17" i="22" s="1"/>
  <c r="A21" i="22"/>
  <c r="M11" i="22"/>
  <c r="E9" i="20"/>
  <c r="G9" i="20" s="1"/>
  <c r="D11" i="20"/>
  <c r="B27" i="25" l="1"/>
  <c r="M28" i="25"/>
  <c r="M27" i="25"/>
  <c r="G23" i="27"/>
  <c r="J25" i="27"/>
  <c r="A26" i="27" s="1"/>
  <c r="B26" i="27" s="1"/>
  <c r="F24" i="27"/>
  <c r="G24" i="27" s="1"/>
  <c r="E25" i="27"/>
  <c r="I24" i="27"/>
  <c r="M23" i="27"/>
  <c r="A23" i="22"/>
  <c r="B23" i="22" s="1"/>
  <c r="E23" i="22" s="1"/>
  <c r="J18" i="22"/>
  <c r="J16" i="22"/>
  <c r="J15" i="22"/>
  <c r="D16" i="20"/>
  <c r="A23" i="20"/>
  <c r="E11" i="20"/>
  <c r="E12" i="20" s="1"/>
  <c r="G12" i="20" s="1"/>
  <c r="D12" i="20"/>
  <c r="F27" i="25" l="1"/>
  <c r="N28" i="25"/>
  <c r="E26" i="27"/>
  <c r="I25" i="27"/>
  <c r="J26" i="27"/>
  <c r="J27" i="27" s="1"/>
  <c r="G25" i="27"/>
  <c r="F25" i="27"/>
  <c r="H24" i="27"/>
  <c r="M24" i="27" s="1"/>
  <c r="M24" i="24"/>
  <c r="J23" i="22"/>
  <c r="I23" i="22"/>
  <c r="D17" i="20"/>
  <c r="E16" i="20"/>
  <c r="G16" i="20" s="1"/>
  <c r="G11" i="20"/>
  <c r="F26" i="27" l="1"/>
  <c r="G26" i="27" s="1"/>
  <c r="G27" i="27" s="1"/>
  <c r="I26" i="27"/>
  <c r="I27" i="27" s="1"/>
  <c r="E27" i="27"/>
  <c r="H25" i="27"/>
  <c r="M25" i="27" s="1"/>
  <c r="M25" i="24"/>
  <c r="L23" i="22"/>
  <c r="F23" i="22"/>
  <c r="M23" i="22" s="1"/>
  <c r="D25" i="20"/>
  <c r="D18" i="20"/>
  <c r="E17" i="20"/>
  <c r="G17" i="20" s="1"/>
  <c r="F28" i="20"/>
  <c r="F29" i="20" s="1"/>
  <c r="F32" i="20" s="1"/>
  <c r="H29" i="22" l="1"/>
  <c r="H26" i="27"/>
  <c r="L24" i="27" s="1"/>
  <c r="L25" i="27" s="1"/>
  <c r="L24" i="24"/>
  <c r="M26" i="24"/>
  <c r="M28" i="24" s="1"/>
  <c r="G23" i="22"/>
  <c r="H24" i="22" s="1"/>
  <c r="D19" i="20"/>
  <c r="E18" i="20"/>
  <c r="G18" i="20" s="1"/>
  <c r="A24" i="22"/>
  <c r="F30" i="20"/>
  <c r="L28" i="27" l="1"/>
  <c r="H27" i="27"/>
  <c r="L26" i="27"/>
  <c r="B27" i="27" s="1"/>
  <c r="N28" i="27" s="1"/>
  <c r="L27" i="27"/>
  <c r="M26" i="27"/>
  <c r="M27" i="27" s="1"/>
  <c r="L26" i="24"/>
  <c r="B27" i="24" s="1"/>
  <c r="L25" i="24"/>
  <c r="L27" i="24"/>
  <c r="L28" i="24"/>
  <c r="M27" i="24"/>
  <c r="B24" i="22"/>
  <c r="D20" i="20"/>
  <c r="D21" i="20" s="1"/>
  <c r="E19" i="20"/>
  <c r="F27" i="24" l="1"/>
  <c r="J24" i="22"/>
  <c r="A25" i="22" s="1"/>
  <c r="B25" i="22" s="1"/>
  <c r="F27" i="27"/>
  <c r="M28" i="27"/>
  <c r="N28" i="24"/>
  <c r="E24" i="22"/>
  <c r="G19" i="20"/>
  <c r="E20" i="20"/>
  <c r="E25" i="22" l="1"/>
  <c r="E21" i="20"/>
  <c r="G21" i="20" s="1"/>
  <c r="G20" i="20"/>
  <c r="E25" i="20"/>
  <c r="G25" i="20" s="1"/>
  <c r="N27" i="22" l="1"/>
  <c r="F24" i="22"/>
  <c r="G24" i="22" s="1"/>
  <c r="H25" i="22" l="1"/>
  <c r="M24" i="22"/>
  <c r="I24" i="22"/>
  <c r="D26" i="20" s="1"/>
  <c r="E26" i="20" l="1"/>
  <c r="G26" i="20" l="1"/>
  <c r="I25" i="22"/>
  <c r="D27" i="20" s="1"/>
  <c r="E27" i="20" s="1"/>
  <c r="F25" i="22"/>
  <c r="G25" i="22" s="1"/>
  <c r="J25" i="22"/>
  <c r="A26" i="22" s="1"/>
  <c r="B26" i="22" s="1"/>
  <c r="E26" i="22" s="1"/>
  <c r="M25" i="22" l="1"/>
  <c r="J26" i="22"/>
  <c r="J27" i="22" s="1"/>
  <c r="F26" i="22"/>
  <c r="H26" i="22"/>
  <c r="G27" i="20"/>
  <c r="G26" i="22" l="1"/>
  <c r="M26" i="22"/>
  <c r="L24" i="22"/>
  <c r="E27" i="22"/>
  <c r="I26" i="22"/>
  <c r="L26" i="22" l="1"/>
  <c r="B27" i="22" s="1"/>
  <c r="N28" i="22" s="1"/>
  <c r="L25" i="22"/>
  <c r="L28" i="22" s="1"/>
  <c r="L27" i="22"/>
  <c r="M28" i="22"/>
  <c r="M27" i="22"/>
  <c r="D28" i="20"/>
  <c r="I27" i="22"/>
  <c r="G27" i="22"/>
  <c r="H27" i="22"/>
  <c r="H28" i="22" l="1"/>
  <c r="D29" i="20"/>
  <c r="D30" i="20" s="1"/>
  <c r="E28" i="20"/>
  <c r="F27" i="22"/>
  <c r="G28" i="20" l="1"/>
  <c r="E29" i="20"/>
  <c r="E30" i="20" l="1"/>
  <c r="G30" i="20" s="1"/>
  <c r="E32" i="20"/>
  <c r="G32" i="20" s="1"/>
  <c r="G29" i="20"/>
</calcChain>
</file>

<file path=xl/sharedStrings.xml><?xml version="1.0" encoding="utf-8"?>
<sst xmlns="http://schemas.openxmlformats.org/spreadsheetml/2006/main" count="494" uniqueCount="59">
  <si>
    <t>progressivo</t>
  </si>
  <si>
    <t>Premio a tasso semplice</t>
  </si>
  <si>
    <t>ogni stage</t>
  </si>
  <si>
    <t>Premio Composto</t>
  </si>
  <si>
    <t>2 diverse modalità di calcolo</t>
  </si>
  <si>
    <t>Token</t>
  </si>
  <si>
    <t>acquistati</t>
  </si>
  <si>
    <t>TABELLA PER IL CALCOLO DEL PREMIO</t>
  </si>
  <si>
    <t>Totale Token Ricevti in Premio =</t>
  </si>
  <si>
    <t>composizione</t>
  </si>
  <si>
    <t>del premio</t>
  </si>
  <si>
    <t>ROUND 1</t>
  </si>
  <si>
    <t>ROUND 2</t>
  </si>
  <si>
    <t>ROUND 3</t>
  </si>
  <si>
    <t>STAGE</t>
  </si>
  <si>
    <t>disponibilità</t>
  </si>
  <si>
    <t>TOTALE</t>
  </si>
  <si>
    <t>Distribuiti</t>
  </si>
  <si>
    <t>I E O</t>
  </si>
  <si>
    <t>Residui</t>
  </si>
  <si>
    <t>Totale Token</t>
  </si>
  <si>
    <t>Progressivo</t>
  </si>
  <si>
    <t>nel Round</t>
  </si>
  <si>
    <t>Chiusura ROUND 1</t>
  </si>
  <si>
    <t>Chiusura ROUND 2</t>
  </si>
  <si>
    <t>Chiusura ROUND 3</t>
  </si>
  <si>
    <t>Residui IEO</t>
  </si>
  <si>
    <t>Acquisti</t>
  </si>
  <si>
    <t>Premi</t>
  </si>
  <si>
    <t>Somma Cap+Int%</t>
  </si>
  <si>
    <t>a inizio stage</t>
  </si>
  <si>
    <t>cap</t>
  </si>
  <si>
    <t>TOT Acq+Premi =</t>
  </si>
  <si>
    <t>CON TASSO COMPOSTO</t>
  </si>
  <si>
    <t>residuo Stage</t>
  </si>
  <si>
    <t>Round</t>
  </si>
  <si>
    <t>IEO</t>
  </si>
  <si>
    <t>prezzo applicato</t>
  </si>
  <si>
    <t>in premio</t>
  </si>
  <si>
    <t xml:space="preserve">Valore </t>
  </si>
  <si>
    <t>Acquistato</t>
  </si>
  <si>
    <t>Prezzo Medio</t>
  </si>
  <si>
    <t>progr detenuti</t>
  </si>
  <si>
    <t>CALCOLO DEI VALORI</t>
  </si>
  <si>
    <t>n.Token</t>
  </si>
  <si>
    <t>Valore Acquisto</t>
  </si>
  <si>
    <t>TOTALI =</t>
  </si>
  <si>
    <t>TOTALI</t>
  </si>
  <si>
    <t>ROUND</t>
  </si>
  <si>
    <t>PROGRESSIVI</t>
  </si>
  <si>
    <t>con prezzo definito</t>
  </si>
  <si>
    <t>Incremento</t>
  </si>
  <si>
    <t>stage</t>
  </si>
  <si>
    <t>round</t>
  </si>
  <si>
    <t>ieo</t>
  </si>
  <si>
    <t>residuo ROUND</t>
  </si>
  <si>
    <t>sum[C*(1+3%)^n]</t>
  </si>
  <si>
    <t>Totale Token acquistati =</t>
  </si>
  <si>
    <t>prezzo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</si>
</sst>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-* #,##0_-;\-* #,##0_-;_-* &quot;-&quot;??_-;_-@_-"/>
    <numFmt numFmtId="165" formatCode="_-* #,##0\ _€_-;\-* #,##0\ _€_-;_-* &quot;-&quot;??\ _€_-;_-@_-"/>
    <numFmt numFmtId="166" formatCode="_-* #,##0.0000_-;\-* #,##0.0000_-;_-* &quot;-&quot;??_-;_-@_-"/>
    <numFmt numFmtId="167" formatCode="_-* #,##0.000000_-;\-* #,##0.000000_-;_-* &quot;-&quot;??_-;_-@_-"/>
    <numFmt numFmtId="168" formatCode="_-* #,##0.0000000\ _€_-;\-* #,##0.0000000\ _€_-;_-* &quot;-&quot;????\ _€_-;_-@_-"/>
    <numFmt numFmtId="169" formatCode="_-* #,##0.000_-;\-* #,##0.000_-;_-* &quot;-&quot;??_-;_-@_-"/>
    <numFmt numFmtId="170" formatCode="_-* #,##0.000\ _€_-;\-* #,##0.000\ _€_-;_-* &quot;-&quot;???\ _€_-;_-@_-"/>
    <numFmt numFmtId="171" formatCode="_-* #,##0.00\ _€_-;\-* #,##0.00\ _€_-;_-* &quot;-&quot;??\ _€_-;_-@_-"/>
    <numFmt numFmtId="172" formatCode="#,##0_ ;\-#,##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164" fontId="4" fillId="0" borderId="0" xfId="0" applyNumberFormat="1" applyFont="1"/>
    <xf numFmtId="0" fontId="4" fillId="0" borderId="0" xfId="0" applyFont="1" applyAlignment="1">
      <alignment horizontal="center"/>
    </xf>
    <xf numFmtId="9" fontId="4" fillId="0" borderId="0" xfId="0" applyNumberFormat="1" applyFont="1" applyAlignment="1">
      <alignment horizontal="center"/>
    </xf>
    <xf numFmtId="43" fontId="3" fillId="0" borderId="0" xfId="1" applyFont="1"/>
    <xf numFmtId="43" fontId="3" fillId="0" borderId="0" xfId="1" applyFon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1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3" fontId="3" fillId="0" borderId="0" xfId="0" applyNumberFormat="1" applyFont="1"/>
    <xf numFmtId="3" fontId="3" fillId="0" borderId="0" xfId="1" applyNumberFormat="1" applyFont="1" applyBorder="1" applyAlignment="1">
      <alignment horizontal="right"/>
    </xf>
    <xf numFmtId="3" fontId="3" fillId="2" borderId="0" xfId="1" applyNumberFormat="1" applyFont="1" applyFill="1" applyAlignment="1">
      <alignment horizontal="right"/>
    </xf>
    <xf numFmtId="3" fontId="3" fillId="2" borderId="0" xfId="1" applyNumberFormat="1" applyFont="1" applyFill="1" applyBorder="1" applyAlignment="1">
      <alignment horizontal="right"/>
    </xf>
    <xf numFmtId="0" fontId="3" fillId="0" borderId="0" xfId="0" applyFont="1" applyAlignment="1">
      <alignment horizontal="center"/>
    </xf>
    <xf numFmtId="3" fontId="3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3" fontId="4" fillId="3" borderId="0" xfId="1" applyNumberFormat="1" applyFont="1" applyFill="1" applyAlignment="1">
      <alignment horizontal="right"/>
    </xf>
    <xf numFmtId="3" fontId="4" fillId="3" borderId="0" xfId="1" applyNumberFormat="1" applyFont="1" applyFill="1" applyBorder="1" applyAlignment="1">
      <alignment horizontal="right"/>
    </xf>
    <xf numFmtId="3" fontId="4" fillId="0" borderId="0" xfId="1" applyNumberFormat="1" applyFont="1" applyFill="1" applyAlignment="1">
      <alignment horizontal="right"/>
    </xf>
    <xf numFmtId="3" fontId="4" fillId="0" borderId="0" xfId="1" applyNumberFormat="1" applyFont="1" applyFill="1" applyBorder="1" applyAlignment="1">
      <alignment horizontal="right"/>
    </xf>
    <xf numFmtId="10" fontId="4" fillId="0" borderId="0" xfId="2" applyNumberFormat="1" applyFont="1" applyFill="1" applyAlignment="1">
      <alignment horizontal="right"/>
    </xf>
    <xf numFmtId="3" fontId="4" fillId="3" borderId="0" xfId="0" applyNumberFormat="1" applyFont="1" applyFill="1"/>
    <xf numFmtId="0" fontId="4" fillId="0" borderId="0" xfId="0" applyFont="1" applyAlignment="1">
      <alignment horizontal="right"/>
    </xf>
    <xf numFmtId="3" fontId="3" fillId="0" borderId="0" xfId="1" applyNumberFormat="1" applyFont="1" applyFill="1" applyAlignment="1">
      <alignment horizontal="right"/>
    </xf>
    <xf numFmtId="3" fontId="3" fillId="0" borderId="0" xfId="1" applyNumberFormat="1" applyFont="1" applyFill="1" applyBorder="1" applyAlignment="1">
      <alignment horizontal="right"/>
    </xf>
    <xf numFmtId="3" fontId="4" fillId="0" borderId="0" xfId="0" applyNumberFormat="1" applyFont="1"/>
    <xf numFmtId="3" fontId="3" fillId="0" borderId="0" xfId="0" applyNumberFormat="1" applyFont="1" applyAlignment="1">
      <alignment horizontal="right"/>
    </xf>
    <xf numFmtId="165" fontId="3" fillId="0" borderId="0" xfId="0" applyNumberFormat="1" applyFont="1"/>
    <xf numFmtId="43" fontId="3" fillId="3" borderId="0" xfId="1" applyFont="1" applyFill="1" applyAlignment="1">
      <alignment horizontal="right"/>
    </xf>
    <xf numFmtId="3" fontId="4" fillId="0" borderId="0" xfId="1" applyNumberFormat="1" applyFont="1" applyFill="1" applyAlignment="1">
      <alignment horizontal="center"/>
    </xf>
    <xf numFmtId="3" fontId="3" fillId="0" borderId="0" xfId="1" applyNumberFormat="1" applyFont="1" applyFill="1" applyBorder="1" applyAlignment="1">
      <alignment horizontal="center"/>
    </xf>
    <xf numFmtId="3" fontId="3" fillId="0" borderId="0" xfId="1" applyNumberFormat="1" applyFont="1" applyBorder="1" applyAlignment="1">
      <alignment horizontal="center"/>
    </xf>
    <xf numFmtId="3" fontId="0" fillId="0" borderId="0" xfId="0" applyNumberFormat="1"/>
    <xf numFmtId="3" fontId="4" fillId="0" borderId="0" xfId="1" applyNumberFormat="1" applyFont="1" applyFill="1" applyBorder="1" applyAlignment="1">
      <alignment horizontal="center"/>
    </xf>
    <xf numFmtId="3" fontId="4" fillId="0" borderId="0" xfId="1" applyNumberFormat="1" applyFont="1" applyBorder="1" applyAlignment="1">
      <alignment horizontal="center"/>
    </xf>
    <xf numFmtId="167" fontId="3" fillId="0" borderId="0" xfId="1" applyNumberFormat="1" applyFont="1" applyAlignment="1">
      <alignment horizontal="center"/>
    </xf>
    <xf numFmtId="167" fontId="3" fillId="0" borderId="0" xfId="0" applyNumberFormat="1" applyFont="1"/>
    <xf numFmtId="168" fontId="3" fillId="0" borderId="0" xfId="0" applyNumberFormat="1" applyFont="1"/>
    <xf numFmtId="3" fontId="3" fillId="4" borderId="0" xfId="1" applyNumberFormat="1" applyFont="1" applyFill="1" applyAlignment="1">
      <alignment horizontal="right"/>
    </xf>
    <xf numFmtId="3" fontId="3" fillId="4" borderId="0" xfId="1" applyNumberFormat="1" applyFont="1" applyFill="1" applyBorder="1" applyAlignment="1">
      <alignment horizontal="right"/>
    </xf>
    <xf numFmtId="3" fontId="3" fillId="4" borderId="0" xfId="0" applyNumberFormat="1" applyFont="1" applyFill="1"/>
    <xf numFmtId="167" fontId="3" fillId="0" borderId="0" xfId="1" applyNumberFormat="1" applyFont="1"/>
    <xf numFmtId="167" fontId="3" fillId="0" borderId="0" xfId="1" applyNumberFormat="1" applyFont="1" applyFill="1" applyBorder="1" applyAlignment="1">
      <alignment horizontal="right"/>
    </xf>
    <xf numFmtId="0" fontId="3" fillId="0" borderId="0" xfId="0" applyFont="1" applyAlignment="1">
      <alignment horizontal="right"/>
    </xf>
    <xf numFmtId="168" fontId="3" fillId="4" borderId="0" xfId="0" applyNumberFormat="1" applyFont="1" applyFill="1"/>
    <xf numFmtId="169" fontId="3" fillId="0" borderId="0" xfId="1" applyNumberFormat="1" applyFont="1" applyAlignment="1">
      <alignment horizontal="right"/>
    </xf>
    <xf numFmtId="169" fontId="3" fillId="4" borderId="0" xfId="1" applyNumberFormat="1" applyFont="1" applyFill="1" applyBorder="1" applyAlignment="1">
      <alignment horizontal="right"/>
    </xf>
    <xf numFmtId="166" fontId="3" fillId="0" borderId="0" xfId="1" applyNumberFormat="1" applyFont="1" applyFill="1" applyBorder="1" applyAlignment="1">
      <alignment horizontal="center"/>
    </xf>
    <xf numFmtId="168" fontId="3" fillId="0" borderId="0" xfId="0" applyNumberFormat="1" applyFont="1" applyAlignment="1">
      <alignment horizontal="center"/>
    </xf>
    <xf numFmtId="3" fontId="4" fillId="0" borderId="0" xfId="2" applyNumberFormat="1" applyFont="1" applyFill="1" applyAlignment="1">
      <alignment horizontal="right"/>
    </xf>
    <xf numFmtId="168" fontId="4" fillId="0" borderId="0" xfId="0" applyNumberFormat="1" applyFont="1"/>
    <xf numFmtId="167" fontId="4" fillId="0" borderId="0" xfId="0" applyNumberFormat="1" applyFont="1" applyAlignment="1">
      <alignment horizontal="right"/>
    </xf>
    <xf numFmtId="169" fontId="3" fillId="4" borderId="0" xfId="1" applyNumberFormat="1" applyFont="1" applyFill="1" applyAlignment="1">
      <alignment horizontal="right"/>
    </xf>
    <xf numFmtId="10" fontId="3" fillId="0" borderId="0" xfId="2" applyNumberFormat="1" applyFont="1"/>
    <xf numFmtId="170" fontId="3" fillId="0" borderId="0" xfId="0" applyNumberFormat="1" applyFont="1"/>
    <xf numFmtId="3" fontId="6" fillId="0" borderId="0" xfId="0" applyNumberFormat="1" applyFont="1" applyAlignment="1">
      <alignment horizontal="center"/>
    </xf>
    <xf numFmtId="3" fontId="7" fillId="3" borderId="0" xfId="1" applyNumberFormat="1" applyFont="1" applyFill="1" applyAlignment="1">
      <alignment horizontal="right"/>
    </xf>
    <xf numFmtId="3" fontId="8" fillId="3" borderId="0" xfId="1" applyNumberFormat="1" applyFont="1" applyFill="1" applyBorder="1" applyAlignment="1">
      <alignment horizontal="right"/>
    </xf>
    <xf numFmtId="3" fontId="8" fillId="0" borderId="0" xfId="0" applyNumberFormat="1" applyFont="1" applyAlignment="1">
      <alignment horizontal="right"/>
    </xf>
    <xf numFmtId="3" fontId="8" fillId="3" borderId="0" xfId="2" applyNumberFormat="1" applyFont="1" applyFill="1" applyAlignment="1">
      <alignment horizontal="right"/>
    </xf>
    <xf numFmtId="167" fontId="3" fillId="0" borderId="0" xfId="1" quotePrefix="1" applyNumberFormat="1" applyFont="1" applyAlignment="1">
      <alignment horizontal="center"/>
    </xf>
    <xf numFmtId="171" fontId="3" fillId="0" borderId="0" xfId="0" applyNumberFormat="1" applyFont="1"/>
    <xf numFmtId="172" fontId="3" fillId="0" borderId="0" xfId="1" applyNumberFormat="1" applyFont="1"/>
    <xf numFmtId="3" fontId="4" fillId="2" borderId="0" xfId="1" applyNumberFormat="1" applyFont="1" applyFill="1" applyAlignment="1">
      <alignment horizontal="right"/>
    </xf>
    <xf numFmtId="3" fontId="4" fillId="2" borderId="0" xfId="0" applyNumberFormat="1" applyFont="1" applyFill="1" applyAlignment="1">
      <alignment horizontal="right"/>
    </xf>
    <xf numFmtId="3" fontId="8" fillId="2" borderId="0" xfId="0" applyNumberFormat="1" applyFont="1" applyFill="1" applyAlignment="1">
      <alignment horizontal="right"/>
    </xf>
    <xf numFmtId="164" fontId="4" fillId="0" borderId="0" xfId="0" applyNumberFormat="1" applyFont="1" applyAlignment="1">
      <alignment horizontal="right"/>
    </xf>
    <xf numFmtId="164" fontId="4" fillId="0" borderId="0" xfId="1" applyNumberFormat="1" applyFont="1" applyFill="1"/>
    <xf numFmtId="10" fontId="4" fillId="0" borderId="0" xfId="2" applyNumberFormat="1" applyFont="1" applyFill="1" applyAlignment="1">
      <alignment horizontal="center"/>
    </xf>
    <xf numFmtId="3" fontId="3" fillId="2" borderId="0" xfId="0" applyNumberFormat="1" applyFont="1" applyFill="1"/>
    <xf numFmtId="43" fontId="3" fillId="0" borderId="0" xfId="1" applyFont="1" applyAlignment="1">
      <alignment horizontal="right"/>
    </xf>
    <xf numFmtId="43" fontId="3" fillId="4" borderId="0" xfId="1" applyFont="1" applyFill="1" applyBorder="1" applyAlignment="1">
      <alignment horizontal="right"/>
    </xf>
    <xf numFmtId="43" fontId="3" fillId="4" borderId="0" xfId="1" applyFont="1" applyFill="1" applyAlignment="1">
      <alignment horizontal="right"/>
    </xf>
    <xf numFmtId="169" fontId="4" fillId="0" borderId="0" xfId="1" applyNumberFormat="1" applyFont="1" applyFill="1"/>
    <xf numFmtId="3" fontId="4" fillId="0" borderId="0" xfId="1" applyNumberFormat="1" applyFont="1" applyFill="1" applyAlignment="1">
      <alignment horizontal="center"/>
    </xf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</cellXfs>
  <cellStyles count="3">
    <cellStyle name="Migliaia" xfId="1" builtinId="3"/>
    <cellStyle name="Normale" xfId="0" builtinId="0"/>
    <cellStyle name="Percentual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C0335-5BE4-4F58-B3C6-F664CA14FC3F}">
  <dimension ref="A2:O32"/>
  <sheetViews>
    <sheetView topLeftCell="B10" zoomScaleNormal="100" workbookViewId="0">
      <selection activeCell="E12" sqref="E12"/>
    </sheetView>
  </sheetViews>
  <sheetFormatPr defaultRowHeight="15" x14ac:dyDescent="0.25"/>
  <cols>
    <col min="1" max="2" width="12.7109375" customWidth="1"/>
    <col min="3" max="3" width="6.7109375" customWidth="1"/>
    <col min="4" max="5" width="10.7109375" customWidth="1"/>
    <col min="6" max="12" width="12.7109375" customWidth="1"/>
    <col min="13" max="14" width="14.7109375" customWidth="1"/>
    <col min="15" max="15" width="12.7109375" customWidth="1"/>
  </cols>
  <sheetData>
    <row r="2" spans="1:15" x14ac:dyDescent="0.25">
      <c r="E2" s="18"/>
      <c r="F2" s="18"/>
      <c r="G2" s="18" t="s">
        <v>7</v>
      </c>
      <c r="H2" s="18"/>
      <c r="I2" s="18"/>
      <c r="J2" s="18"/>
      <c r="K2" s="2"/>
      <c r="L2" s="2"/>
    </row>
    <row r="3" spans="1:15" x14ac:dyDescent="0.25">
      <c r="E3" s="18"/>
      <c r="F3" s="18"/>
      <c r="G3" s="18" t="s">
        <v>33</v>
      </c>
      <c r="H3" s="18"/>
      <c r="I3" s="18"/>
      <c r="J3" s="18"/>
      <c r="K3" s="2"/>
      <c r="L3" s="2"/>
    </row>
    <row r="4" spans="1:15" ht="15.75" customHeight="1" x14ac:dyDescent="0.25">
      <c r="A4" s="5" t="s">
        <v>11</v>
      </c>
      <c r="B4" s="5"/>
      <c r="C4" s="1"/>
      <c r="D4" s="5" t="s">
        <v>5</v>
      </c>
      <c r="E4" s="5" t="s">
        <v>21</v>
      </c>
      <c r="F4" s="78" t="s">
        <v>1</v>
      </c>
      <c r="G4" s="78"/>
      <c r="H4" s="5" t="s">
        <v>9</v>
      </c>
      <c r="I4" s="16" t="s">
        <v>16</v>
      </c>
      <c r="J4" s="16" t="s">
        <v>20</v>
      </c>
      <c r="K4" s="78" t="s">
        <v>18</v>
      </c>
      <c r="L4" s="78"/>
      <c r="M4" s="78" t="s">
        <v>3</v>
      </c>
      <c r="N4" s="78"/>
      <c r="O4" s="3"/>
    </row>
    <row r="5" spans="1:15" x14ac:dyDescent="0.25">
      <c r="A5" s="17">
        <f>K5/3</f>
        <v>260000000</v>
      </c>
      <c r="B5" s="17"/>
      <c r="D5" s="5" t="s">
        <v>6</v>
      </c>
      <c r="E5" s="5" t="s">
        <v>6</v>
      </c>
      <c r="F5" s="5" t="s">
        <v>2</v>
      </c>
      <c r="G5" s="5" t="s">
        <v>0</v>
      </c>
      <c r="H5" s="5" t="s">
        <v>10</v>
      </c>
      <c r="I5" s="16" t="s">
        <v>5</v>
      </c>
      <c r="J5" s="16" t="s">
        <v>19</v>
      </c>
      <c r="K5" s="79">
        <v>780000000</v>
      </c>
      <c r="L5" s="79"/>
      <c r="M5" s="78" t="s">
        <v>4</v>
      </c>
      <c r="N5" s="78"/>
      <c r="O5" s="3"/>
    </row>
    <row r="6" spans="1:15" x14ac:dyDescent="0.25">
      <c r="A6" s="5"/>
      <c r="B6" s="5" t="s">
        <v>15</v>
      </c>
      <c r="C6" s="5" t="s">
        <v>14</v>
      </c>
      <c r="D6" s="5" t="s">
        <v>31</v>
      </c>
      <c r="E6" s="5" t="s">
        <v>22</v>
      </c>
      <c r="F6" s="6">
        <v>0.03</v>
      </c>
      <c r="G6" s="6"/>
      <c r="H6" s="6">
        <f>F6</f>
        <v>0.03</v>
      </c>
      <c r="I6" s="16" t="s">
        <v>17</v>
      </c>
      <c r="J6" s="16" t="s">
        <v>36</v>
      </c>
      <c r="K6" s="77" t="s">
        <v>23</v>
      </c>
      <c r="L6" s="77"/>
      <c r="M6" s="5" t="s">
        <v>29</v>
      </c>
      <c r="N6" s="8" t="s">
        <v>56</v>
      </c>
    </row>
    <row r="7" spans="1:15" x14ac:dyDescent="0.25">
      <c r="A7" s="16" t="s">
        <v>30</v>
      </c>
      <c r="B7" s="17">
        <f>A5</f>
        <v>260000000</v>
      </c>
      <c r="C7" s="5">
        <v>1</v>
      </c>
      <c r="D7" s="29">
        <v>100000000</v>
      </c>
      <c r="E7" s="10">
        <f>D7</f>
        <v>100000000</v>
      </c>
      <c r="F7" s="10">
        <f>INT(E7*$F$6)</f>
        <v>3000000</v>
      </c>
      <c r="G7" s="10">
        <f>SUM($F$7:F7)</f>
        <v>3000000</v>
      </c>
      <c r="H7" s="10">
        <v>0</v>
      </c>
      <c r="I7" s="10">
        <f t="shared" ref="I7:I10" si="0">E7+G7+H7</f>
        <v>103000000</v>
      </c>
      <c r="J7" s="10">
        <f>$K$5-I7</f>
        <v>677000000</v>
      </c>
      <c r="K7" s="21" t="s">
        <v>27</v>
      </c>
      <c r="L7" s="19">
        <f>IF(SUM(D7:D10)&gt;K5,0,SUM(D7:D10))</f>
        <v>260000000</v>
      </c>
      <c r="M7" s="10">
        <f>IF($D$11+G7&gt;$K$5,0,D7+G7)</f>
        <v>103000000</v>
      </c>
      <c r="N7" s="7">
        <f>IF(D11&gt;K5,0,D7*(1+$H$6)^(4-C7+1))</f>
        <v>112550880.99999999</v>
      </c>
    </row>
    <row r="8" spans="1:15" x14ac:dyDescent="0.25">
      <c r="A8" s="17"/>
      <c r="B8" s="17">
        <f>(B7-D7)</f>
        <v>160000000</v>
      </c>
      <c r="C8" s="5">
        <f>1+C7</f>
        <v>2</v>
      </c>
      <c r="D8" s="29">
        <v>80000000</v>
      </c>
      <c r="E8" s="10">
        <f>D8+E7</f>
        <v>180000000</v>
      </c>
      <c r="F8" s="10">
        <f t="shared" ref="F8:F18" si="1">INT(E8*$F$6)</f>
        <v>5400000</v>
      </c>
      <c r="G8" s="10">
        <f>SUM($F$7:F8)</f>
        <v>8400000</v>
      </c>
      <c r="H8" s="10">
        <f>INT($H$6*SUM($G$7:G7))</f>
        <v>90000</v>
      </c>
      <c r="I8" s="10">
        <f t="shared" si="0"/>
        <v>188490000</v>
      </c>
      <c r="J8" s="10">
        <f>$K$5-I8</f>
        <v>591510000</v>
      </c>
      <c r="K8" s="21" t="s">
        <v>28</v>
      </c>
      <c r="L8" s="19">
        <f>IF(L7=0,0,SUM(F7:F10)+H10)</f>
        <v>23605041</v>
      </c>
      <c r="M8" s="10">
        <f>D8+F8+H8-H7</f>
        <v>85490000</v>
      </c>
      <c r="N8" s="7">
        <f>IF(D11&gt;K5,0,D8*(1+$H$6)^(4-C8+1))</f>
        <v>87418160</v>
      </c>
    </row>
    <row r="9" spans="1:15" x14ac:dyDescent="0.25">
      <c r="A9" s="17"/>
      <c r="B9" s="17">
        <f t="shared" ref="B9:B10" si="2">(B8-D8)</f>
        <v>80000000</v>
      </c>
      <c r="C9" s="5">
        <f t="shared" ref="C9:C26" si="3">1+C8</f>
        <v>3</v>
      </c>
      <c r="D9" s="29">
        <v>40000000</v>
      </c>
      <c r="E9" s="10">
        <f t="shared" ref="E9:E18" si="4">D9+E8</f>
        <v>220000000</v>
      </c>
      <c r="F9" s="10">
        <f t="shared" si="1"/>
        <v>6600000</v>
      </c>
      <c r="G9" s="10">
        <f>SUM($F$7:F9)</f>
        <v>15000000</v>
      </c>
      <c r="H9" s="10">
        <f>INT($H$6*SUM($G$7:G8)+$H$6*SUM($H$7:H8))</f>
        <v>344700</v>
      </c>
      <c r="I9" s="10">
        <f t="shared" si="0"/>
        <v>235344700</v>
      </c>
      <c r="J9" s="10">
        <f>$K$5-I9</f>
        <v>544655300</v>
      </c>
      <c r="K9" s="25" t="s">
        <v>20</v>
      </c>
      <c r="L9" s="24">
        <f>L7+L8</f>
        <v>283605041</v>
      </c>
      <c r="M9" s="10">
        <f>D9+F9+H9-H8</f>
        <v>46854700</v>
      </c>
      <c r="N9" s="7">
        <f>IF(D11&gt;K5,0,D9*(1+$H$6)^(4-C9+1))</f>
        <v>42436000</v>
      </c>
    </row>
    <row r="10" spans="1:15" x14ac:dyDescent="0.25">
      <c r="A10" s="17"/>
      <c r="B10" s="17">
        <f t="shared" si="2"/>
        <v>40000000</v>
      </c>
      <c r="C10" s="5">
        <f t="shared" si="3"/>
        <v>4</v>
      </c>
      <c r="D10" s="29">
        <v>40000000</v>
      </c>
      <c r="E10" s="13">
        <f t="shared" si="4"/>
        <v>260000000</v>
      </c>
      <c r="F10" s="13">
        <f>INT(E10*$F$6)</f>
        <v>7800000</v>
      </c>
      <c r="G10" s="13">
        <f>SUM($F$7:F10)</f>
        <v>22800000</v>
      </c>
      <c r="H10" s="13">
        <f>INT($H$6*SUM($G$7:G9)+$H$6*SUM($H$7:H9))</f>
        <v>805041</v>
      </c>
      <c r="I10" s="13">
        <f t="shared" si="0"/>
        <v>283605041</v>
      </c>
      <c r="J10" s="13">
        <f>$K$5-I10</f>
        <v>496394959</v>
      </c>
      <c r="K10" s="22" t="s">
        <v>26</v>
      </c>
      <c r="L10" s="20">
        <f>K5-L7-L8</f>
        <v>496394959</v>
      </c>
      <c r="M10" s="13">
        <f>D10+F10+H10-H9</f>
        <v>48260341</v>
      </c>
      <c r="N10" s="7">
        <f>IF(D11&gt;K5,0,D10*(1+$H$6)^(4-C10+1))</f>
        <v>41200000</v>
      </c>
    </row>
    <row r="11" spans="1:15" x14ac:dyDescent="0.25">
      <c r="A11" s="3"/>
      <c r="B11" s="17"/>
      <c r="C11" s="5"/>
      <c r="D11" s="14">
        <f>SUM(D7:D10)</f>
        <v>260000000</v>
      </c>
      <c r="E11" s="15"/>
      <c r="F11" s="15"/>
      <c r="G11" s="15"/>
      <c r="H11" s="15"/>
      <c r="I11" s="15">
        <f>I10</f>
        <v>283605041</v>
      </c>
      <c r="J11" s="15"/>
      <c r="K11" s="15"/>
      <c r="L11" s="15"/>
      <c r="M11" s="13">
        <f>SUM(M7:M10)</f>
        <v>283605041</v>
      </c>
      <c r="N11" s="7">
        <f>SUM(N7:N10)</f>
        <v>283605041</v>
      </c>
    </row>
    <row r="12" spans="1:15" x14ac:dyDescent="0.25">
      <c r="A12" s="5" t="s">
        <v>12</v>
      </c>
      <c r="B12" s="5"/>
      <c r="C12" s="5"/>
      <c r="D12" s="26"/>
      <c r="E12" s="27"/>
      <c r="F12" s="27"/>
      <c r="G12" s="27"/>
      <c r="H12" s="27"/>
      <c r="I12" s="27"/>
      <c r="J12" s="27"/>
      <c r="K12" s="27"/>
      <c r="L12" s="27"/>
      <c r="M12" s="13"/>
      <c r="N12" s="7"/>
    </row>
    <row r="13" spans="1:15" x14ac:dyDescent="0.25">
      <c r="A13" s="17">
        <f>K5/3</f>
        <v>260000000</v>
      </c>
      <c r="B13" s="17"/>
      <c r="C13" s="5"/>
      <c r="D13" s="5" t="s">
        <v>5</v>
      </c>
      <c r="E13" s="36" t="s">
        <v>21</v>
      </c>
      <c r="F13" s="78" t="s">
        <v>1</v>
      </c>
      <c r="G13" s="78"/>
      <c r="H13" s="5" t="s">
        <v>9</v>
      </c>
      <c r="I13" s="33" t="s">
        <v>16</v>
      </c>
      <c r="J13" s="33" t="s">
        <v>16</v>
      </c>
      <c r="K13" s="27"/>
      <c r="L13" s="27"/>
      <c r="M13" s="13"/>
      <c r="N13" s="7"/>
    </row>
    <row r="14" spans="1:15" x14ac:dyDescent="0.25">
      <c r="A14" s="3"/>
      <c r="B14" s="5" t="s">
        <v>15</v>
      </c>
      <c r="C14" s="5" t="s">
        <v>14</v>
      </c>
      <c r="D14" s="5" t="s">
        <v>6</v>
      </c>
      <c r="E14" s="37" t="s">
        <v>35</v>
      </c>
      <c r="F14" s="5" t="s">
        <v>2</v>
      </c>
      <c r="G14" s="5" t="s">
        <v>0</v>
      </c>
      <c r="H14" s="5" t="s">
        <v>10</v>
      </c>
      <c r="I14" s="34" t="s">
        <v>17</v>
      </c>
      <c r="J14" s="34" t="s">
        <v>19</v>
      </c>
      <c r="K14" s="77" t="s">
        <v>24</v>
      </c>
      <c r="L14" s="77"/>
      <c r="M14" s="5" t="s">
        <v>29</v>
      </c>
      <c r="N14" s="8" t="s">
        <v>56</v>
      </c>
    </row>
    <row r="15" spans="1:15" x14ac:dyDescent="0.25">
      <c r="A15" s="16" t="s">
        <v>30</v>
      </c>
      <c r="B15" s="17">
        <f>B7-L7+A13</f>
        <v>260000000</v>
      </c>
      <c r="C15" s="5">
        <f>1+C10</f>
        <v>5</v>
      </c>
      <c r="D15" s="29">
        <v>100000000</v>
      </c>
      <c r="E15" s="10">
        <f>D15</f>
        <v>100000000</v>
      </c>
      <c r="F15" s="10">
        <f>INT(E15*$F$6)</f>
        <v>3000000</v>
      </c>
      <c r="G15" s="10">
        <f>SUM($F$15:F15)</f>
        <v>3000000</v>
      </c>
      <c r="H15" s="10">
        <v>0</v>
      </c>
      <c r="I15" s="10">
        <f>IF(E15+G15+H15=0,0,E15+G15+H15+$I$10)</f>
        <v>386605041</v>
      </c>
      <c r="J15" s="10">
        <f>$K$5-I15</f>
        <v>393394959</v>
      </c>
      <c r="K15" s="21" t="s">
        <v>27</v>
      </c>
      <c r="L15" s="19">
        <f>SUM(D15:D18)</f>
        <v>260000000</v>
      </c>
      <c r="M15" s="10">
        <f>D15+F15</f>
        <v>103000000</v>
      </c>
      <c r="N15" s="7">
        <f>D15*(1+$H$6)^(8-C15+1)</f>
        <v>112550880.99999999</v>
      </c>
    </row>
    <row r="16" spans="1:15" x14ac:dyDescent="0.25">
      <c r="A16" s="3"/>
      <c r="B16" s="17">
        <f>(B15-D15)</f>
        <v>160000000</v>
      </c>
      <c r="C16" s="5">
        <f t="shared" si="3"/>
        <v>6</v>
      </c>
      <c r="D16" s="29">
        <v>80000000</v>
      </c>
      <c r="E16" s="10">
        <f t="shared" si="4"/>
        <v>180000000</v>
      </c>
      <c r="F16" s="10">
        <f t="shared" si="1"/>
        <v>5400000</v>
      </c>
      <c r="G16" s="10">
        <f>SUM($F$15:F16)</f>
        <v>8400000</v>
      </c>
      <c r="H16" s="10">
        <f>INT($H$6*SUM($G$15:G15))</f>
        <v>90000</v>
      </c>
      <c r="I16" s="10">
        <f t="shared" ref="I16:I17" si="5">IF(E16+G16+H16=0,0,E16+G16+H16+$I$10)</f>
        <v>472095041</v>
      </c>
      <c r="J16" s="10">
        <f>$K$5-I16</f>
        <v>307904959</v>
      </c>
      <c r="K16" s="21" t="s">
        <v>28</v>
      </c>
      <c r="L16" s="19">
        <f>SUM(F15:F18)+H18</f>
        <v>23605041</v>
      </c>
      <c r="M16" s="10">
        <f>D16+F16+H16-H15</f>
        <v>85490000</v>
      </c>
      <c r="N16" s="7">
        <f t="shared" ref="N16:N18" si="6">D16*(1+$H$6)^(8-C16+1)</f>
        <v>87418160</v>
      </c>
    </row>
    <row r="17" spans="1:15" x14ac:dyDescent="0.25">
      <c r="A17" s="3"/>
      <c r="B17" s="17">
        <f t="shared" ref="B17:B18" si="7">(B16-D16)</f>
        <v>80000000</v>
      </c>
      <c r="C17" s="5">
        <f t="shared" si="3"/>
        <v>7</v>
      </c>
      <c r="D17" s="29">
        <v>40000000</v>
      </c>
      <c r="E17" s="10">
        <f t="shared" si="4"/>
        <v>220000000</v>
      </c>
      <c r="F17" s="10">
        <f t="shared" si="1"/>
        <v>6600000</v>
      </c>
      <c r="G17" s="10">
        <f>SUM($F$15:F17)</f>
        <v>15000000</v>
      </c>
      <c r="H17" s="10">
        <f>INT($H$6*SUM($G$15:G16)+$H$6*SUM($H$15:H16))</f>
        <v>344700</v>
      </c>
      <c r="I17" s="10">
        <f t="shared" si="5"/>
        <v>518949741</v>
      </c>
      <c r="J17" s="10">
        <f>$K$5-I17</f>
        <v>261050259</v>
      </c>
      <c r="K17" s="25" t="s">
        <v>20</v>
      </c>
      <c r="L17" s="24">
        <f>L15+L16</f>
        <v>283605041</v>
      </c>
      <c r="M17" s="10">
        <f>D17+F17+H17-H16</f>
        <v>46854700</v>
      </c>
      <c r="N17" s="7">
        <f t="shared" si="6"/>
        <v>42436000</v>
      </c>
    </row>
    <row r="18" spans="1:15" x14ac:dyDescent="0.25">
      <c r="A18" s="3"/>
      <c r="B18" s="17">
        <f t="shared" si="7"/>
        <v>40000000</v>
      </c>
      <c r="C18" s="5">
        <f t="shared" si="3"/>
        <v>8</v>
      </c>
      <c r="D18" s="29">
        <v>40000000</v>
      </c>
      <c r="E18" s="13">
        <f t="shared" si="4"/>
        <v>260000000</v>
      </c>
      <c r="F18" s="13">
        <f t="shared" si="1"/>
        <v>7800000</v>
      </c>
      <c r="G18" s="13">
        <f>SUM($F$15:F18)</f>
        <v>22800000</v>
      </c>
      <c r="H18" s="13">
        <f>INT($H$6*SUM($G$15:G17)+$H$6*SUM($H$15:H17))</f>
        <v>805041</v>
      </c>
      <c r="I18" s="13">
        <f t="shared" ref="I18" si="8">E18+G18+H18+$I$10</f>
        <v>567210082</v>
      </c>
      <c r="J18" s="13">
        <f>$K$5-I18</f>
        <v>212789918</v>
      </c>
      <c r="K18" s="22" t="s">
        <v>26</v>
      </c>
      <c r="L18" s="20">
        <f>IF(L10-L15-L16&lt;=0,0, L10-L15-L16)</f>
        <v>212789918</v>
      </c>
      <c r="M18" s="13">
        <f>D18+F18+H18-H17</f>
        <v>48260341</v>
      </c>
      <c r="N18" s="7">
        <f t="shared" si="6"/>
        <v>41200000</v>
      </c>
    </row>
    <row r="19" spans="1:15" x14ac:dyDescent="0.25">
      <c r="A19" s="3"/>
      <c r="B19" s="5"/>
      <c r="C19" s="5"/>
      <c r="D19" s="14">
        <f>SUM(D15:D18)</f>
        <v>260000000</v>
      </c>
      <c r="E19" s="15"/>
      <c r="F19" s="15"/>
      <c r="G19" s="15"/>
      <c r="H19" s="15"/>
      <c r="I19" s="15">
        <f>I18</f>
        <v>567210082</v>
      </c>
      <c r="J19" s="15"/>
      <c r="K19" s="15"/>
      <c r="L19" s="15"/>
      <c r="M19" s="13">
        <f>SUM(M15:M18)</f>
        <v>283605041</v>
      </c>
      <c r="N19" s="7">
        <f>SUM(N15:N18)</f>
        <v>283605041</v>
      </c>
    </row>
    <row r="20" spans="1:15" x14ac:dyDescent="0.25">
      <c r="A20" s="5" t="s">
        <v>13</v>
      </c>
      <c r="B20" s="5"/>
      <c r="C20" s="5"/>
      <c r="D20" s="26"/>
      <c r="E20" s="27"/>
      <c r="F20" s="27"/>
      <c r="G20" s="27"/>
      <c r="H20" s="27"/>
      <c r="I20" s="27"/>
      <c r="J20" s="27"/>
      <c r="K20" s="27"/>
      <c r="L20" s="27"/>
      <c r="M20" s="13"/>
      <c r="N20" s="7"/>
    </row>
    <row r="21" spans="1:15" x14ac:dyDescent="0.25">
      <c r="A21" s="17">
        <f>INT(L18)</f>
        <v>212789918</v>
      </c>
      <c r="B21" s="17"/>
      <c r="C21" s="5"/>
      <c r="D21" s="5" t="s">
        <v>5</v>
      </c>
      <c r="E21" s="36" t="s">
        <v>21</v>
      </c>
      <c r="F21" s="78" t="s">
        <v>1</v>
      </c>
      <c r="G21" s="78"/>
      <c r="H21" s="5" t="s">
        <v>9</v>
      </c>
      <c r="I21" s="33" t="s">
        <v>16</v>
      </c>
      <c r="J21" s="33" t="s">
        <v>16</v>
      </c>
      <c r="K21" s="27"/>
      <c r="L21" s="27"/>
      <c r="M21" s="13"/>
      <c r="N21" s="7"/>
    </row>
    <row r="22" spans="1:15" x14ac:dyDescent="0.25">
      <c r="A22" s="16" t="s">
        <v>34</v>
      </c>
      <c r="B22" s="5" t="s">
        <v>15</v>
      </c>
      <c r="C22" s="5" t="s">
        <v>14</v>
      </c>
      <c r="D22" s="5" t="s">
        <v>6</v>
      </c>
      <c r="E22" s="37" t="s">
        <v>35</v>
      </c>
      <c r="F22" s="5" t="s">
        <v>2</v>
      </c>
      <c r="G22" s="5" t="s">
        <v>0</v>
      </c>
      <c r="H22" s="5" t="s">
        <v>10</v>
      </c>
      <c r="I22" s="34" t="s">
        <v>17</v>
      </c>
      <c r="J22" s="34" t="s">
        <v>19</v>
      </c>
      <c r="K22" s="77" t="s">
        <v>25</v>
      </c>
      <c r="L22" s="77"/>
      <c r="M22" s="5" t="s">
        <v>29</v>
      </c>
      <c r="N22" s="8" t="s">
        <v>56</v>
      </c>
    </row>
    <row r="23" spans="1:15" x14ac:dyDescent="0.25">
      <c r="A23" s="28">
        <f>A21</f>
        <v>212789918</v>
      </c>
      <c r="B23" s="17">
        <f>IF(A23&lt;=0,0,INT(A23/(1+$F$6)^4))</f>
        <v>189061086</v>
      </c>
      <c r="C23" s="5">
        <f>1+C18</f>
        <v>9</v>
      </c>
      <c r="D23" s="29">
        <v>100000000</v>
      </c>
      <c r="E23" s="10">
        <f>IF(D23&gt;B23,0,D23)</f>
        <v>100000000</v>
      </c>
      <c r="F23" s="10">
        <f>IF(E23="not available",0,INT(E23*$F$6))</f>
        <v>3000000</v>
      </c>
      <c r="G23" s="10">
        <f>SUM($F$23:F23)</f>
        <v>3000000</v>
      </c>
      <c r="H23" s="10">
        <v>0</v>
      </c>
      <c r="I23" s="26">
        <f>IF(E23="not available",0,INT(D23*(1+$F$6)^4)+$I$18)</f>
        <v>679760963</v>
      </c>
      <c r="J23" s="10">
        <f>IF(B23=0,0,A23-D23*(1+$F$6)^4)</f>
        <v>100239037.00000001</v>
      </c>
      <c r="K23" s="21" t="s">
        <v>27</v>
      </c>
      <c r="L23" s="19">
        <f>IF(E23="not available",0,SUM(D23:D26))</f>
        <v>191784906</v>
      </c>
      <c r="M23" s="10">
        <f>IF(E23="not available",0,D23+F23+H23)</f>
        <v>103000000</v>
      </c>
      <c r="N23" s="7">
        <f>D23*(1+$H$6)^(12-C23+1)</f>
        <v>112550880.99999999</v>
      </c>
    </row>
    <row r="24" spans="1:15" x14ac:dyDescent="0.25">
      <c r="A24" s="22">
        <f>IF(D23&gt;B23,"oops!!",INT(J23))</f>
        <v>100239037</v>
      </c>
      <c r="B24" s="17">
        <f>IF(B23=0,0,IF(INT(A23-N23)&lt;=0,0,INT($A$24/(1+$F$6)^3)))</f>
        <v>91732918</v>
      </c>
      <c r="C24" s="5">
        <f t="shared" si="3"/>
        <v>10</v>
      </c>
      <c r="D24" s="29">
        <v>90000000</v>
      </c>
      <c r="E24" s="10">
        <f>IF(E23="not available",E23,IF(D24&gt;B24,0,D24+E23))</f>
        <v>190000000</v>
      </c>
      <c r="F24" s="10">
        <f>IF(OR(D24&gt;B24,F23=0),0,INT(E24*$F$6))</f>
        <v>5700000</v>
      </c>
      <c r="G24" s="10">
        <f>SUM($F$23:F24)</f>
        <v>8700000</v>
      </c>
      <c r="H24" s="10">
        <f>INT($H$6*SUM($G$23:G23))</f>
        <v>90000</v>
      </c>
      <c r="I24" s="26">
        <f>IF(E24="not available",0,INT(D24*(1+$F$6)^3)+$I$23)</f>
        <v>778106393</v>
      </c>
      <c r="J24" s="10">
        <f>IF(B24=0,J23,A24-D24*(1+$F$6)^3)</f>
        <v>1893607</v>
      </c>
      <c r="K24" s="21" t="s">
        <v>28</v>
      </c>
      <c r="L24" s="19">
        <f>SUM(F23:F26)+H26</f>
        <v>21005011</v>
      </c>
      <c r="M24" s="10">
        <f>D24+F24+H24-H23</f>
        <v>95790000</v>
      </c>
      <c r="N24" s="7">
        <f>D24*(1+$H$6)^(12-C24+1)</f>
        <v>98345430</v>
      </c>
    </row>
    <row r="25" spans="1:15" x14ac:dyDescent="0.25">
      <c r="A25" s="11">
        <f>IF(A24="oops!!","oops!!",IF(D24&gt;B24,"oops!!",INT(J24)))</f>
        <v>1893607</v>
      </c>
      <c r="B25" s="17">
        <f>IF(B24=0,0,IF(INT(A24-N24)&lt;=0,0,INT($A$25/(1+$F$6)^2)))</f>
        <v>1784906</v>
      </c>
      <c r="C25" s="5">
        <f t="shared" si="3"/>
        <v>11</v>
      </c>
      <c r="D25" s="29">
        <v>1784906</v>
      </c>
      <c r="E25" s="10">
        <f>IF(E24="not available",E24,IF(D25&gt;B25,0,D25+E24))</f>
        <v>191784906</v>
      </c>
      <c r="F25" s="10">
        <f>IF(OR(D25&gt;B25,F24=0),0,INT(E25*$F$6))</f>
        <v>5753547</v>
      </c>
      <c r="G25" s="10">
        <f>SUM($F$23:F25)</f>
        <v>14453547</v>
      </c>
      <c r="H25" s="10">
        <f>INT($H$6*SUM($G$23:G24)+$H$6*SUM($H$23:H24))</f>
        <v>353700</v>
      </c>
      <c r="I25" s="26">
        <f>IF(E25="not available",0,INT(D25*(1+$F$6)^2)+$I$24)</f>
        <v>779999999</v>
      </c>
      <c r="J25" s="10">
        <f>IF(B25=0,J24,A25-D25*(1+$F$6)^2)</f>
        <v>0.22460000007413328</v>
      </c>
      <c r="K25" s="25" t="s">
        <v>20</v>
      </c>
      <c r="L25" s="24">
        <f>L23+L24</f>
        <v>212789917</v>
      </c>
      <c r="M25" s="10">
        <f>D25+F25+H25-H24</f>
        <v>7802153</v>
      </c>
      <c r="N25" s="7">
        <f>D25*(1+$H$6)^(12-C25+1)</f>
        <v>1893606.7753999999</v>
      </c>
    </row>
    <row r="26" spans="1:15" x14ac:dyDescent="0.25">
      <c r="A26" s="11">
        <f>IF(A25="oops!!","oops!!",IF(D25&gt;B25,"oops!!",INT(J25)))</f>
        <v>0</v>
      </c>
      <c r="B26" s="17">
        <f>IF(B25=0,0,IF(INT(A25-N25)&lt;=0,0,INT($A$26/(1+$F$6)^1)))</f>
        <v>0</v>
      </c>
      <c r="C26" s="5">
        <f t="shared" si="3"/>
        <v>12</v>
      </c>
      <c r="D26" s="29">
        <v>0</v>
      </c>
      <c r="E26" s="10">
        <f>IF(E25="not available",E25,IF(D26&gt;B26,0,D26+E25))</f>
        <v>191784906</v>
      </c>
      <c r="F26" s="10">
        <f>IF(OR(D26&gt;B26,F25=0),0,INT(E26*$F$6))</f>
        <v>5753547</v>
      </c>
      <c r="G26" s="10">
        <f>SUM($F$23:F26)</f>
        <v>20207094</v>
      </c>
      <c r="H26" s="10">
        <f>INT($H$6*SUM($G$23:G25)+$H$6*SUM($H$23:H25))</f>
        <v>797917</v>
      </c>
      <c r="I26" s="26">
        <f>IF(E26="not available",0,INT(D26*(1+$F$6)^1)+$I$25)</f>
        <v>779999999</v>
      </c>
      <c r="J26" s="10">
        <f>IF(B26=0,J25,A26-D26*(1+$F$6)^1)</f>
        <v>0.22460000007413328</v>
      </c>
      <c r="K26" s="22" t="s">
        <v>26</v>
      </c>
      <c r="L26" s="60">
        <f>IF(E23="not available",0,IF(L18-L23-L24&lt;0,"oops!!",L18-L23-L24))</f>
        <v>1</v>
      </c>
      <c r="M26" s="10">
        <f>D26+F26+H26-H25</f>
        <v>6197764</v>
      </c>
      <c r="N26" s="7">
        <f>D26*(1+$H$6)^(12-C26+1)</f>
        <v>0</v>
      </c>
    </row>
    <row r="27" spans="1:15" x14ac:dyDescent="0.25">
      <c r="A27" s="25" t="s">
        <v>55</v>
      </c>
      <c r="B27" s="58">
        <f>IF(L26&lt;0,"something wrong",L26)</f>
        <v>1</v>
      </c>
      <c r="C27" s="3"/>
      <c r="D27" s="72">
        <f>SUM(D23:D26)</f>
        <v>191784906</v>
      </c>
      <c r="E27" s="66">
        <f>E26</f>
        <v>191784906</v>
      </c>
      <c r="F27" s="66">
        <f>IF(OR(E27="not available",B27="something wrong"),0,SUM(F7:F26))</f>
        <v>65807094</v>
      </c>
      <c r="G27" s="67">
        <f>G26</f>
        <v>20207094</v>
      </c>
      <c r="H27" s="66">
        <f>INT($H$6*SUM($G$23:G26)+$H$6*SUM($H$23:H26))</f>
        <v>1428067</v>
      </c>
      <c r="I27" s="67">
        <f>I26</f>
        <v>779999999</v>
      </c>
      <c r="J27" s="67">
        <f>J26</f>
        <v>0.22460000007413328</v>
      </c>
      <c r="K27" s="67"/>
      <c r="L27" s="68">
        <f>L18-L23-L24</f>
        <v>1</v>
      </c>
      <c r="M27" s="13">
        <f>SUM(M23:M26)</f>
        <v>212789917</v>
      </c>
      <c r="N27" s="7">
        <f>SUM(N23:N26)</f>
        <v>212789917.77540001</v>
      </c>
    </row>
    <row r="28" spans="1:15" x14ac:dyDescent="0.25">
      <c r="D28" s="21">
        <f>D11+D19+D27</f>
        <v>711784906</v>
      </c>
      <c r="E28" s="4"/>
      <c r="F28" s="4"/>
      <c r="G28" s="69" t="s">
        <v>8</v>
      </c>
      <c r="H28" s="70">
        <f>IF(A21&gt;=K5,0,IF(OR(E27="not available",B27="something wrong",B27="oops!!"),L8+L16+L24,I27-D28))</f>
        <v>68215093</v>
      </c>
      <c r="I28" s="56">
        <f>IF(OR(D28=0,D28=""),0,H28/(H28+H29))</f>
        <v>8.7455247548019546E-2</v>
      </c>
      <c r="J28" s="71"/>
      <c r="K28" s="23" t="s">
        <v>32</v>
      </c>
      <c r="L28" s="62">
        <f>IF(L7+L8+L15+L16+L23+L24&gt;K5,"something wrong",L9+L17+L25)</f>
        <v>779999999</v>
      </c>
      <c r="M28" s="59">
        <f>IF(SUM(M7:M10)+SUM(M15:M18)+SUM(M23:M26)&gt;K5,"data error",SUM(M7:M10)+SUM(M15:M18)+SUM(M23:M26))</f>
        <v>779999999</v>
      </c>
      <c r="N28" s="31">
        <f>IF(OR(B27="oops!!",J27&lt;0),"data error",SUM(N7:N10)+SUM(N15:N18)+SUM(N23:N26))</f>
        <v>779999999.77540004</v>
      </c>
      <c r="O28" s="7"/>
    </row>
    <row r="29" spans="1:15" x14ac:dyDescent="0.25">
      <c r="B29" s="30"/>
      <c r="G29" s="46" t="s">
        <v>57</v>
      </c>
      <c r="H29" s="65">
        <f>L7+L15+L23</f>
        <v>711784906</v>
      </c>
      <c r="N29" s="64"/>
    </row>
    <row r="31" spans="1:15" x14ac:dyDescent="0.25">
      <c r="H31" s="35"/>
      <c r="I31" s="3"/>
    </row>
    <row r="32" spans="1:15" x14ac:dyDescent="0.25">
      <c r="H32" s="35"/>
    </row>
  </sheetData>
  <mergeCells count="10">
    <mergeCell ref="M4:N4"/>
    <mergeCell ref="K5:L5"/>
    <mergeCell ref="M5:N5"/>
    <mergeCell ref="K6:L6"/>
    <mergeCell ref="F13:G13"/>
    <mergeCell ref="K14:L14"/>
    <mergeCell ref="F21:G21"/>
    <mergeCell ref="K22:L22"/>
    <mergeCell ref="F4:G4"/>
    <mergeCell ref="K4:L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D70ED-2525-4F6D-8E93-C2542F59A619}">
  <dimension ref="A2:J32"/>
  <sheetViews>
    <sheetView topLeftCell="A13" zoomScaleNormal="100" workbookViewId="0">
      <selection activeCell="J28" sqref="J28"/>
    </sheetView>
  </sheetViews>
  <sheetFormatPr defaultRowHeight="15" x14ac:dyDescent="0.25"/>
  <cols>
    <col min="1" max="1" width="12.7109375" customWidth="1"/>
    <col min="2" max="2" width="6.7109375" customWidth="1"/>
    <col min="3" max="3" width="10.7109375" customWidth="1"/>
    <col min="4" max="5" width="12.7109375" customWidth="1"/>
    <col min="6" max="6" width="15.7109375" customWidth="1"/>
    <col min="7" max="7" width="12.7109375" customWidth="1"/>
    <col min="8" max="10" width="6.7109375" customWidth="1"/>
  </cols>
  <sheetData>
    <row r="2" spans="1:10" x14ac:dyDescent="0.25">
      <c r="D2" s="18" t="s">
        <v>43</v>
      </c>
      <c r="E2" s="2"/>
      <c r="F2" s="2"/>
    </row>
    <row r="3" spans="1:10" x14ac:dyDescent="0.25">
      <c r="D3" s="18" t="s">
        <v>50</v>
      </c>
      <c r="E3" s="2"/>
      <c r="F3" s="2"/>
    </row>
    <row r="4" spans="1:10" ht="15.75" customHeight="1" x14ac:dyDescent="0.25">
      <c r="A4" s="5" t="s">
        <v>11</v>
      </c>
      <c r="B4" s="1"/>
      <c r="C4" s="5" t="s">
        <v>5</v>
      </c>
      <c r="D4" s="5" t="s">
        <v>5</v>
      </c>
      <c r="E4" s="5" t="s">
        <v>5</v>
      </c>
      <c r="F4" s="5" t="s">
        <v>39</v>
      </c>
      <c r="G4" s="5" t="s">
        <v>5</v>
      </c>
      <c r="H4" s="78" t="s">
        <v>51</v>
      </c>
      <c r="I4" s="78"/>
      <c r="J4" s="78"/>
    </row>
    <row r="5" spans="1:10" x14ac:dyDescent="0.25">
      <c r="A5" s="17">
        <f>PREMI!A5</f>
        <v>260000000</v>
      </c>
      <c r="C5" s="5" t="s">
        <v>6</v>
      </c>
      <c r="D5" s="9" t="s">
        <v>38</v>
      </c>
      <c r="E5" s="5" t="s">
        <v>42</v>
      </c>
      <c r="F5" s="5" t="s">
        <v>40</v>
      </c>
      <c r="G5" s="5" t="s">
        <v>41</v>
      </c>
      <c r="H5" s="78" t="s">
        <v>58</v>
      </c>
      <c r="I5" s="78"/>
      <c r="J5" s="78"/>
    </row>
    <row r="6" spans="1:10" x14ac:dyDescent="0.25">
      <c r="A6" s="5" t="s">
        <v>37</v>
      </c>
      <c r="B6" s="5" t="s">
        <v>14</v>
      </c>
      <c r="C6" s="5"/>
      <c r="D6" s="32"/>
      <c r="F6" s="16"/>
      <c r="H6" s="16" t="s">
        <v>52</v>
      </c>
      <c r="I6" s="8" t="s">
        <v>53</v>
      </c>
      <c r="J6" s="8" t="s">
        <v>54</v>
      </c>
    </row>
    <row r="7" spans="1:10" x14ac:dyDescent="0.25">
      <c r="A7" s="38">
        <v>0</v>
      </c>
      <c r="B7" s="5">
        <v>1</v>
      </c>
      <c r="C7" s="29">
        <f>PREMI!D7</f>
        <v>100000000</v>
      </c>
      <c r="D7" s="21">
        <f>PREMI!I7-PREMI!E7</f>
        <v>3000000</v>
      </c>
      <c r="E7" s="12">
        <f>C7+D7</f>
        <v>103000000</v>
      </c>
      <c r="F7" s="73">
        <f>A7*C7</f>
        <v>0</v>
      </c>
      <c r="G7" s="40">
        <f>IF(OR(E7="",E7=0),"",F7/E7)</f>
        <v>0</v>
      </c>
      <c r="H7" s="56">
        <f>IF(OR($A7=0,$A7=""),0,A7/$A7)</f>
        <v>0</v>
      </c>
      <c r="I7" s="56">
        <f>IF(OR($A$7=0,$A$7=""),0,A7/$A$7)</f>
        <v>0</v>
      </c>
      <c r="J7" s="3"/>
    </row>
    <row r="8" spans="1:10" x14ac:dyDescent="0.25">
      <c r="A8" s="38">
        <v>0</v>
      </c>
      <c r="B8" s="5">
        <f>1+B7</f>
        <v>2</v>
      </c>
      <c r="C8" s="29">
        <f>PREMI!D8</f>
        <v>80000000</v>
      </c>
      <c r="D8" s="21">
        <f>PREMI!I8-PREMI!E8-D7</f>
        <v>5490000</v>
      </c>
      <c r="E8" s="12">
        <f t="shared" ref="E8:E10" si="0">C8+D8</f>
        <v>85490000</v>
      </c>
      <c r="F8" s="73">
        <f>A8*C8</f>
        <v>0</v>
      </c>
      <c r="G8" s="40">
        <f>IF(OR(E8="",E8=0),"",F8/E8)</f>
        <v>0</v>
      </c>
      <c r="H8" s="56">
        <f>IF(OR($A8=0,$A8=""),0,A8/$A7)</f>
        <v>0</v>
      </c>
      <c r="I8" s="56">
        <f>IF(OR($A$7=0,$A$7=""),0,A8/$A$7)</f>
        <v>0</v>
      </c>
      <c r="J8" s="3"/>
    </row>
    <row r="9" spans="1:10" x14ac:dyDescent="0.25">
      <c r="A9" s="38">
        <v>0</v>
      </c>
      <c r="B9" s="5">
        <f t="shared" ref="B9:B10" si="1">1+B8</f>
        <v>3</v>
      </c>
      <c r="C9" s="29">
        <f>PREMI!D9</f>
        <v>40000000</v>
      </c>
      <c r="D9" s="21">
        <f>PREMI!I9-PREMI!E9-D8-D7</f>
        <v>6854700</v>
      </c>
      <c r="E9" s="12">
        <f t="shared" si="0"/>
        <v>46854700</v>
      </c>
      <c r="F9" s="73">
        <f>A9*C9</f>
        <v>0</v>
      </c>
      <c r="G9" s="40">
        <f t="shared" ref="G9" si="2">IF(OR(E9="",E9=0),"",F9/E9)</f>
        <v>0</v>
      </c>
      <c r="H9" s="56">
        <f t="shared" ref="H9:H10" si="3">IF(OR($A9=0,$A9=""),0,A9/$A8)</f>
        <v>0</v>
      </c>
      <c r="I9" s="56">
        <f>IF(OR($A$7=0,$A$7=""),0,A9/$A$7)</f>
        <v>0</v>
      </c>
      <c r="J9" s="3"/>
    </row>
    <row r="10" spans="1:10" x14ac:dyDescent="0.25">
      <c r="A10" s="63">
        <v>0</v>
      </c>
      <c r="B10" s="5">
        <f t="shared" si="1"/>
        <v>4</v>
      </c>
      <c r="C10" s="29">
        <f>PREMI!D10</f>
        <v>40000000</v>
      </c>
      <c r="D10" s="21">
        <f>PREMI!I10-PREMI!E10-D9-D8-D7</f>
        <v>8260341</v>
      </c>
      <c r="E10" s="12">
        <f t="shared" si="0"/>
        <v>48260341</v>
      </c>
      <c r="F10" s="73">
        <f>A10*C10</f>
        <v>0</v>
      </c>
      <c r="G10" s="40">
        <f>IF(OR(E10="",E10=0),"",F10/E10)</f>
        <v>0</v>
      </c>
      <c r="H10" s="56">
        <f t="shared" si="3"/>
        <v>0</v>
      </c>
      <c r="I10" s="56">
        <f>IF(OR($A$7=0,$A$7=""),0,A10/$A$7)</f>
        <v>0</v>
      </c>
      <c r="J10" s="56">
        <f>IF(OR($A$7=0,$A$7=""),0,A10/$A$7)</f>
        <v>0</v>
      </c>
    </row>
    <row r="11" spans="1:10" x14ac:dyDescent="0.25">
      <c r="A11" s="54" t="s">
        <v>47</v>
      </c>
      <c r="B11" s="5" t="s">
        <v>48</v>
      </c>
      <c r="C11" s="41">
        <f>SUM(C7:C10)</f>
        <v>260000000</v>
      </c>
      <c r="D11" s="42">
        <f>SUM(D7:D10)</f>
        <v>23605041</v>
      </c>
      <c r="E11" s="43">
        <f>SUM(E7:E10)</f>
        <v>283605041</v>
      </c>
      <c r="F11" s="74">
        <f>SUM(F7:F10)</f>
        <v>0</v>
      </c>
      <c r="G11" s="47">
        <f>IF(OR(E11="",E11=0),"",F11/E11)</f>
        <v>0</v>
      </c>
      <c r="H11" s="3"/>
      <c r="I11" s="7"/>
      <c r="J11" s="3"/>
    </row>
    <row r="12" spans="1:10" x14ac:dyDescent="0.25">
      <c r="A12" s="39"/>
      <c r="B12" s="25" t="s">
        <v>49</v>
      </c>
      <c r="C12" s="41">
        <f>C11</f>
        <v>260000000</v>
      </c>
      <c r="D12" s="41">
        <f t="shared" ref="D12:F12" si="4">D11</f>
        <v>23605041</v>
      </c>
      <c r="E12" s="41">
        <f t="shared" si="4"/>
        <v>283605041</v>
      </c>
      <c r="F12" s="75">
        <f t="shared" si="4"/>
        <v>0</v>
      </c>
      <c r="G12" s="47">
        <f>IF(OR(E12="",E12=0),"",F12/E12)</f>
        <v>0</v>
      </c>
      <c r="H12" s="7"/>
      <c r="I12" s="7"/>
      <c r="J12" s="57"/>
    </row>
    <row r="13" spans="1:10" x14ac:dyDescent="0.25">
      <c r="A13" s="5" t="s">
        <v>12</v>
      </c>
      <c r="B13" s="5"/>
      <c r="C13" s="5" t="s">
        <v>5</v>
      </c>
      <c r="D13" s="5" t="s">
        <v>5</v>
      </c>
      <c r="E13" s="5" t="s">
        <v>5</v>
      </c>
      <c r="F13" s="5" t="s">
        <v>39</v>
      </c>
      <c r="G13" s="5" t="s">
        <v>5</v>
      </c>
      <c r="H13" s="78" t="s">
        <v>51</v>
      </c>
      <c r="I13" s="78"/>
      <c r="J13" s="78"/>
    </row>
    <row r="14" spans="1:10" x14ac:dyDescent="0.25">
      <c r="A14" s="17">
        <f>PREMI!A13</f>
        <v>260000000</v>
      </c>
      <c r="C14" s="5" t="s">
        <v>6</v>
      </c>
      <c r="D14" s="9" t="s">
        <v>38</v>
      </c>
      <c r="E14" s="5" t="s">
        <v>42</v>
      </c>
      <c r="F14" s="5" t="s">
        <v>40</v>
      </c>
      <c r="G14" s="5" t="s">
        <v>41</v>
      </c>
      <c r="H14" s="78" t="s">
        <v>58</v>
      </c>
      <c r="I14" s="78"/>
      <c r="J14" s="78"/>
    </row>
    <row r="15" spans="1:10" x14ac:dyDescent="0.25">
      <c r="A15" s="5" t="s">
        <v>37</v>
      </c>
      <c r="B15" s="5" t="s">
        <v>14</v>
      </c>
      <c r="H15" s="16" t="s">
        <v>52</v>
      </c>
      <c r="I15" s="8" t="s">
        <v>53</v>
      </c>
      <c r="J15" s="8" t="s">
        <v>54</v>
      </c>
    </row>
    <row r="16" spans="1:10" x14ac:dyDescent="0.25">
      <c r="A16" s="38">
        <v>0</v>
      </c>
      <c r="B16" s="5">
        <f>1+B10</f>
        <v>5</v>
      </c>
      <c r="C16" s="29">
        <f>PREMI!D15</f>
        <v>100000000</v>
      </c>
      <c r="D16" s="21">
        <f>PREMI!I15-PREMI!E15-PREMI!I11</f>
        <v>3000000</v>
      </c>
      <c r="E16" s="12">
        <f>C16+D16</f>
        <v>103000000</v>
      </c>
      <c r="F16" s="48">
        <f>A16*C16</f>
        <v>0</v>
      </c>
      <c r="G16" s="40">
        <f>IF(OR(E16="",E16=0),"",F16/E16)</f>
        <v>0</v>
      </c>
      <c r="H16" s="56">
        <f>IF(OR($A16=0,$A16=""),0,A16/$A16)</f>
        <v>0</v>
      </c>
      <c r="I16" s="56">
        <f>IF(OR($A$16=0,$A$16=""),0,A16/$A$16)</f>
        <v>0</v>
      </c>
    </row>
    <row r="17" spans="1:10" x14ac:dyDescent="0.25">
      <c r="A17" s="38">
        <v>0</v>
      </c>
      <c r="B17" s="5">
        <f>1+B16</f>
        <v>6</v>
      </c>
      <c r="C17" s="29">
        <f>PREMI!D16</f>
        <v>80000000</v>
      </c>
      <c r="D17" s="21">
        <f>PREMI!I16-PREMI!E16-PREMI!I11-D16</f>
        <v>5490000</v>
      </c>
      <c r="E17" s="12">
        <f t="shared" ref="E17:E19" si="5">C17+D17</f>
        <v>85490000</v>
      </c>
      <c r="F17" s="48">
        <f>A17*C17</f>
        <v>0</v>
      </c>
      <c r="G17" s="40">
        <f t="shared" ref="G17:G19" si="6">IF(OR(E17="",E17=0),"",F17/E17)</f>
        <v>0</v>
      </c>
      <c r="H17" s="56">
        <f>IF(OR($A17=0,$A17=""),0,A17/$A16)</f>
        <v>0</v>
      </c>
      <c r="I17" s="56">
        <f t="shared" ref="I17:I19" si="7">IF(OR($A$16=0,$A$16=""),0,A17/$A$16)</f>
        <v>0</v>
      </c>
    </row>
    <row r="18" spans="1:10" x14ac:dyDescent="0.25">
      <c r="A18" s="38">
        <v>0</v>
      </c>
      <c r="B18" s="5">
        <f>1+B17</f>
        <v>7</v>
      </c>
      <c r="C18" s="29">
        <f>PREMI!D17</f>
        <v>40000000</v>
      </c>
      <c r="D18" s="21">
        <f>PREMI!I17-PREMI!E17-PREMI!I11-D17-D16</f>
        <v>6854700</v>
      </c>
      <c r="E18" s="12">
        <f t="shared" si="5"/>
        <v>46854700</v>
      </c>
      <c r="F18" s="48">
        <f>A18*C18</f>
        <v>0</v>
      </c>
      <c r="G18" s="40">
        <f t="shared" si="6"/>
        <v>0</v>
      </c>
      <c r="H18" s="56">
        <f t="shared" ref="H18:H19" si="8">IF(OR($A18=0,$A18=""),0,A18/$A17)</f>
        <v>0</v>
      </c>
      <c r="I18" s="56">
        <f t="shared" si="7"/>
        <v>0</v>
      </c>
    </row>
    <row r="19" spans="1:10" x14ac:dyDescent="0.25">
      <c r="A19" s="38">
        <v>0</v>
      </c>
      <c r="B19" s="5">
        <f>1+B18</f>
        <v>8</v>
      </c>
      <c r="C19" s="29">
        <f>PREMI!D18</f>
        <v>40000000</v>
      </c>
      <c r="D19" s="21">
        <f>PREMI!I18-PREMI!E18-PREMI!I11-D18-D17-D16</f>
        <v>8260341</v>
      </c>
      <c r="E19" s="12">
        <f t="shared" si="5"/>
        <v>48260341</v>
      </c>
      <c r="F19" s="48">
        <f>A19*C19</f>
        <v>0</v>
      </c>
      <c r="G19" s="40">
        <f t="shared" si="6"/>
        <v>0</v>
      </c>
      <c r="H19" s="56">
        <f t="shared" si="8"/>
        <v>0</v>
      </c>
      <c r="I19" s="56">
        <f t="shared" si="7"/>
        <v>0</v>
      </c>
      <c r="J19" s="56">
        <f>IF(OR($A$7=0,$A$7=""),0,A19/$A$7)</f>
        <v>0</v>
      </c>
    </row>
    <row r="20" spans="1:10" x14ac:dyDescent="0.25">
      <c r="A20" s="54" t="s">
        <v>47</v>
      </c>
      <c r="B20" s="5" t="s">
        <v>48</v>
      </c>
      <c r="C20" s="41">
        <f>SUM(C16:C19)</f>
        <v>260000000</v>
      </c>
      <c r="D20" s="42">
        <f>SUM(D16:D19)</f>
        <v>23605041</v>
      </c>
      <c r="E20" s="43">
        <f>SUM(E16:E19)</f>
        <v>283605041</v>
      </c>
      <c r="F20" s="49">
        <f>SUM(F16:F19)</f>
        <v>0</v>
      </c>
      <c r="G20" s="47">
        <f>IF(OR(E20="",E20=0),"",F20/E20)</f>
        <v>0</v>
      </c>
      <c r="I20" s="7">
        <f>A$3*F20</f>
        <v>0</v>
      </c>
    </row>
    <row r="21" spans="1:10" x14ac:dyDescent="0.25">
      <c r="A21" s="39"/>
      <c r="B21" s="25" t="s">
        <v>49</v>
      </c>
      <c r="C21" s="41">
        <f>C11+C20</f>
        <v>520000000</v>
      </c>
      <c r="D21" s="41">
        <f t="shared" ref="D21:F21" si="9">D11+D20</f>
        <v>47210082</v>
      </c>
      <c r="E21" s="41">
        <f t="shared" si="9"/>
        <v>567210082</v>
      </c>
      <c r="F21" s="55">
        <f t="shared" si="9"/>
        <v>0</v>
      </c>
      <c r="G21" s="47">
        <f>IF(OR(E21="",E21=0),"",F21/E21)</f>
        <v>0</v>
      </c>
      <c r="I21" s="7">
        <f>A$3*F21</f>
        <v>0</v>
      </c>
    </row>
    <row r="22" spans="1:10" x14ac:dyDescent="0.25">
      <c r="A22" s="5" t="s">
        <v>13</v>
      </c>
      <c r="C22" s="5" t="s">
        <v>5</v>
      </c>
      <c r="D22" s="5" t="s">
        <v>5</v>
      </c>
      <c r="E22" s="5" t="s">
        <v>5</v>
      </c>
      <c r="F22" s="5" t="s">
        <v>39</v>
      </c>
      <c r="G22" s="5" t="s">
        <v>5</v>
      </c>
      <c r="H22" s="78" t="s">
        <v>51</v>
      </c>
      <c r="I22" s="78"/>
      <c r="J22" s="78"/>
    </row>
    <row r="23" spans="1:10" x14ac:dyDescent="0.25">
      <c r="A23" s="17">
        <f>PREMI!A21</f>
        <v>212789918</v>
      </c>
      <c r="B23" s="5"/>
      <c r="C23" s="5" t="s">
        <v>6</v>
      </c>
      <c r="D23" s="9" t="s">
        <v>38</v>
      </c>
      <c r="E23" s="5" t="s">
        <v>42</v>
      </c>
      <c r="F23" s="5" t="s">
        <v>40</v>
      </c>
      <c r="G23" s="5" t="s">
        <v>41</v>
      </c>
      <c r="H23" s="78" t="s">
        <v>58</v>
      </c>
      <c r="I23" s="78"/>
      <c r="J23" s="78"/>
    </row>
    <row r="24" spans="1:10" x14ac:dyDescent="0.25">
      <c r="A24" s="5" t="s">
        <v>37</v>
      </c>
      <c r="B24" s="5" t="s">
        <v>14</v>
      </c>
      <c r="H24" s="16" t="s">
        <v>52</v>
      </c>
      <c r="I24" s="8" t="s">
        <v>53</v>
      </c>
      <c r="J24" s="8" t="s">
        <v>54</v>
      </c>
    </row>
    <row r="25" spans="1:10" x14ac:dyDescent="0.25">
      <c r="A25" s="44">
        <v>0</v>
      </c>
      <c r="B25" s="5">
        <f>1+B19</f>
        <v>9</v>
      </c>
      <c r="C25" s="29">
        <f>PREMI!D23</f>
        <v>100000000</v>
      </c>
      <c r="D25" s="21">
        <f>PREMI!I23-PREMI!E23-PREMI!I19</f>
        <v>12550881</v>
      </c>
      <c r="E25" s="12">
        <f>C25+D25</f>
        <v>112550881</v>
      </c>
      <c r="F25" s="48">
        <f>A25*C25</f>
        <v>0</v>
      </c>
      <c r="G25" s="40">
        <f>IF(OR(E25="",E25=0),"",F25/E25)</f>
        <v>0</v>
      </c>
      <c r="H25" s="56">
        <f>IF(OR($A25=0,$A25=""),0,A25/$A25)</f>
        <v>0</v>
      </c>
      <c r="I25" s="56">
        <f>IF(OR($A$25=0,$A$25=""),0,A25/$A$25)</f>
        <v>0</v>
      </c>
    </row>
    <row r="26" spans="1:10" x14ac:dyDescent="0.25">
      <c r="A26" s="44">
        <v>0</v>
      </c>
      <c r="B26" s="5">
        <f>1+B25</f>
        <v>10</v>
      </c>
      <c r="C26" s="29">
        <f>PREMI!D24</f>
        <v>90000000</v>
      </c>
      <c r="D26" s="21">
        <f>PREMI!I24-PREMI!E24-PREMI!I19-D25</f>
        <v>8345430</v>
      </c>
      <c r="E26" s="12">
        <f t="shared" ref="E26:E28" si="10">C26+D26</f>
        <v>98345430</v>
      </c>
      <c r="F26" s="48">
        <f>A26*C26</f>
        <v>0</v>
      </c>
      <c r="G26" s="40">
        <f t="shared" ref="G26:G28" si="11">IF(OR(E26="",E26=0),"",F26/E26)</f>
        <v>0</v>
      </c>
      <c r="H26" s="56">
        <f>IF(OR($A26=0,$A26=""),0,A26/$A25)</f>
        <v>0</v>
      </c>
      <c r="I26" s="56">
        <f>IF(OR($A$25=0,$A$25=""),0,A26/$A$25)</f>
        <v>0</v>
      </c>
    </row>
    <row r="27" spans="1:10" x14ac:dyDescent="0.25">
      <c r="A27" s="44">
        <v>0</v>
      </c>
      <c r="B27" s="5">
        <f>1+B26</f>
        <v>11</v>
      </c>
      <c r="C27" s="29">
        <f>PREMI!D25</f>
        <v>1784906</v>
      </c>
      <c r="D27" s="21">
        <f>PREMI!I25-PREMI!E25-PREMI!I19-D26-D25</f>
        <v>108700</v>
      </c>
      <c r="E27" s="12">
        <f t="shared" si="10"/>
        <v>1893606</v>
      </c>
      <c r="F27" s="48">
        <f>A27*C27</f>
        <v>0</v>
      </c>
      <c r="G27" s="40">
        <f t="shared" si="11"/>
        <v>0</v>
      </c>
      <c r="H27" s="56">
        <f t="shared" ref="H27:H28" si="12">IF(OR($A27=0,$A27=""),0,A27/$A26)</f>
        <v>0</v>
      </c>
      <c r="I27" s="56">
        <f>IF(OR($A$25=0,$A$25=""),0,A27/$A$25)</f>
        <v>0</v>
      </c>
    </row>
    <row r="28" spans="1:10" x14ac:dyDescent="0.25">
      <c r="A28" s="45">
        <v>0</v>
      </c>
      <c r="B28" s="5">
        <f>1+B27</f>
        <v>12</v>
      </c>
      <c r="C28" s="29">
        <f>PREMI!D26</f>
        <v>0</v>
      </c>
      <c r="D28" s="21">
        <f>PREMI!I26-PREMI!E26-PREMI!I19-D27-D26-D25</f>
        <v>0</v>
      </c>
      <c r="E28" s="12">
        <f t="shared" si="10"/>
        <v>0</v>
      </c>
      <c r="F28" s="48">
        <f>A28*C28</f>
        <v>0</v>
      </c>
      <c r="G28" s="40" t="str">
        <f t="shared" si="11"/>
        <v/>
      </c>
      <c r="H28" s="56">
        <f t="shared" si="12"/>
        <v>0</v>
      </c>
      <c r="I28" s="56">
        <f>IF(OR($A$25=0,$A$25=""),0,A28/$A$25)</f>
        <v>0</v>
      </c>
      <c r="J28" s="56">
        <f>IF(OR($A$7=0,$A$7=""),0,A28/$A$7)</f>
        <v>0</v>
      </c>
    </row>
    <row r="29" spans="1:10" x14ac:dyDescent="0.25">
      <c r="A29" s="54" t="s">
        <v>47</v>
      </c>
      <c r="B29" s="5" t="s">
        <v>48</v>
      </c>
      <c r="C29" s="41">
        <f>SUM(C25:C28)</f>
        <v>191784906</v>
      </c>
      <c r="D29" s="42">
        <f>SUM(D25:D28)</f>
        <v>21005011</v>
      </c>
      <c r="E29" s="43">
        <f>SUM(E25:E28)</f>
        <v>212789917</v>
      </c>
      <c r="F29" s="49">
        <f>SUM(F25:F28)</f>
        <v>0</v>
      </c>
      <c r="G29" s="47">
        <f>IF(OR(E29="",E29=0),"",F29/E29)</f>
        <v>0</v>
      </c>
      <c r="I29" s="7"/>
    </row>
    <row r="30" spans="1:10" x14ac:dyDescent="0.25">
      <c r="A30" s="39"/>
      <c r="B30" s="25" t="s">
        <v>49</v>
      </c>
      <c r="C30" s="41">
        <f>C21+C29</f>
        <v>711784906</v>
      </c>
      <c r="D30" s="41">
        <f>D21+D29</f>
        <v>68215093</v>
      </c>
      <c r="E30" s="41">
        <f>E21+E29</f>
        <v>779999999</v>
      </c>
      <c r="F30" s="55">
        <f>F21+F29</f>
        <v>0</v>
      </c>
      <c r="G30" s="47">
        <f>IF(OR(E30="",E30=0),"",F30/E30)</f>
        <v>0</v>
      </c>
      <c r="I30" s="7"/>
    </row>
    <row r="31" spans="1:10" x14ac:dyDescent="0.25">
      <c r="A31" s="46"/>
      <c r="B31" s="3"/>
      <c r="C31" s="26"/>
      <c r="D31" s="27"/>
      <c r="E31" s="17" t="s">
        <v>44</v>
      </c>
      <c r="F31" s="50" t="s">
        <v>45</v>
      </c>
      <c r="G31" s="51" t="s">
        <v>41</v>
      </c>
    </row>
    <row r="32" spans="1:10" x14ac:dyDescent="0.25">
      <c r="C32" s="4"/>
      <c r="D32" s="23" t="s">
        <v>46</v>
      </c>
      <c r="E32" s="52">
        <f>E11+E20+E29</f>
        <v>779999999</v>
      </c>
      <c r="F32" s="76">
        <f>F11+F20+F29</f>
        <v>0</v>
      </c>
      <c r="G32" s="53">
        <f>IF(OR(E32="",E32=0),"",F32/E32)</f>
        <v>0</v>
      </c>
    </row>
  </sheetData>
  <mergeCells count="6">
    <mergeCell ref="H23:J23"/>
    <mergeCell ref="H4:J4"/>
    <mergeCell ref="H5:J5"/>
    <mergeCell ref="H13:J13"/>
    <mergeCell ref="H14:J14"/>
    <mergeCell ref="H22:J2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7B83E-5BD6-4BF6-A703-627164258754}">
  <dimension ref="A2:O29"/>
  <sheetViews>
    <sheetView tabSelected="1" zoomScaleNormal="100" workbookViewId="0">
      <selection activeCell="F8" sqref="F8"/>
    </sheetView>
  </sheetViews>
  <sheetFormatPr defaultRowHeight="15" x14ac:dyDescent="0.25"/>
  <cols>
    <col min="1" max="2" width="12.7109375" customWidth="1"/>
    <col min="3" max="3" width="6.7109375" customWidth="1"/>
    <col min="4" max="5" width="10.7109375" customWidth="1"/>
    <col min="6" max="12" width="12.7109375" customWidth="1"/>
    <col min="13" max="14" width="14.7109375" customWidth="1"/>
    <col min="15" max="15" width="12.7109375" customWidth="1"/>
  </cols>
  <sheetData>
    <row r="2" spans="1:15" x14ac:dyDescent="0.25">
      <c r="E2" s="18"/>
      <c r="F2" s="18"/>
      <c r="G2" s="18" t="s">
        <v>7</v>
      </c>
      <c r="H2" s="18"/>
      <c r="I2" s="18"/>
      <c r="J2" s="18"/>
      <c r="K2" s="2"/>
      <c r="L2" s="2"/>
    </row>
    <row r="3" spans="1:15" x14ac:dyDescent="0.25">
      <c r="E3" s="18"/>
      <c r="F3" s="18"/>
      <c r="G3" s="18" t="s">
        <v>33</v>
      </c>
      <c r="H3" s="18"/>
      <c r="I3" s="18"/>
      <c r="J3" s="18"/>
      <c r="K3" s="2"/>
      <c r="L3" s="2"/>
    </row>
    <row r="4" spans="1:15" ht="15.75" customHeight="1" x14ac:dyDescent="0.25">
      <c r="A4" s="5" t="s">
        <v>11</v>
      </c>
      <c r="B4" s="5"/>
      <c r="C4" s="1"/>
      <c r="D4" s="5" t="s">
        <v>5</v>
      </c>
      <c r="E4" s="5" t="s">
        <v>21</v>
      </c>
      <c r="F4" s="5" t="s">
        <v>1</v>
      </c>
      <c r="G4" s="5"/>
      <c r="H4" s="5" t="s">
        <v>9</v>
      </c>
      <c r="I4" s="16" t="s">
        <v>16</v>
      </c>
      <c r="J4" s="16" t="s">
        <v>20</v>
      </c>
      <c r="K4" s="5" t="s">
        <v>18</v>
      </c>
      <c r="L4" s="5"/>
      <c r="M4" s="5" t="s">
        <v>3</v>
      </c>
      <c r="N4" s="5"/>
      <c r="O4" s="3"/>
    </row>
    <row r="5" spans="1:15" x14ac:dyDescent="0.25">
      <c r="A5" s="17">
        <v>260000000</v>
      </c>
      <c r="B5" s="17"/>
      <c r="D5" s="5" t="s">
        <v>6</v>
      </c>
      <c r="E5" s="5" t="s">
        <v>6</v>
      </c>
      <c r="F5" s="5" t="s">
        <v>2</v>
      </c>
      <c r="G5" s="5" t="s">
        <v>0</v>
      </c>
      <c r="H5" s="5" t="s">
        <v>10</v>
      </c>
      <c r="I5" s="16" t="s">
        <v>5</v>
      </c>
      <c r="J5" s="16" t="s">
        <v>19</v>
      </c>
      <c r="K5" s="9">
        <v>780000000</v>
      </c>
      <c r="L5" s="9"/>
      <c r="M5" s="5" t="s">
        <v>4</v>
      </c>
      <c r="N5" s="5"/>
      <c r="O5" s="3"/>
    </row>
    <row r="6" spans="1:15" x14ac:dyDescent="0.25">
      <c r="A6" s="5"/>
      <c r="B6" s="5" t="s">
        <v>15</v>
      </c>
      <c r="C6" s="5" t="s">
        <v>14</v>
      </c>
      <c r="D6" s="5" t="s">
        <v>31</v>
      </c>
      <c r="E6" s="5" t="s">
        <v>22</v>
      </c>
      <c r="F6" s="6">
        <v>0.03</v>
      </c>
      <c r="G6" s="6"/>
      <c r="H6" s="6">
        <v>0.03</v>
      </c>
      <c r="I6" s="16" t="s">
        <v>17</v>
      </c>
      <c r="J6" s="16" t="s">
        <v>36</v>
      </c>
      <c r="K6" s="32" t="s">
        <v>23</v>
      </c>
      <c r="L6" s="32"/>
      <c r="M6" s="5" t="s">
        <v>29</v>
      </c>
      <c r="N6" s="8" t="s">
        <v>56</v>
      </c>
    </row>
    <row r="7" spans="1:15" x14ac:dyDescent="0.25">
      <c r="A7" s="16" t="s">
        <v>30</v>
      </c>
      <c r="B7" s="17">
        <v>260000000</v>
      </c>
      <c r="C7" s="5">
        <v>1</v>
      </c>
      <c r="D7" s="29">
        <v>20000</v>
      </c>
      <c r="E7" s="10">
        <v>20000</v>
      </c>
      <c r="F7" s="10">
        <v>600</v>
      </c>
      <c r="G7" s="10">
        <v>600</v>
      </c>
      <c r="H7" s="10">
        <v>0</v>
      </c>
      <c r="I7" s="10">
        <v>20600</v>
      </c>
      <c r="J7" s="10">
        <v>779979400</v>
      </c>
      <c r="K7" s="21" t="s">
        <v>27</v>
      </c>
      <c r="L7" s="19">
        <v>64000</v>
      </c>
      <c r="M7" s="10">
        <v>20600</v>
      </c>
      <c r="N7" s="7">
        <v>22510.176199999998</v>
      </c>
    </row>
    <row r="8" spans="1:15" x14ac:dyDescent="0.25">
      <c r="A8" s="17"/>
      <c r="B8" s="17">
        <v>259980000</v>
      </c>
      <c r="C8" s="5">
        <v>2</v>
      </c>
      <c r="D8" s="29">
        <v>0</v>
      </c>
      <c r="E8" s="10">
        <v>20000</v>
      </c>
      <c r="F8" s="10">
        <v>600</v>
      </c>
      <c r="G8" s="10">
        <v>1200</v>
      </c>
      <c r="H8" s="10">
        <v>18</v>
      </c>
      <c r="I8" s="10">
        <v>21218</v>
      </c>
      <c r="J8" s="10">
        <v>779978782</v>
      </c>
      <c r="K8" s="21" t="s">
        <v>28</v>
      </c>
      <c r="L8" s="19">
        <v>4509</v>
      </c>
      <c r="M8" s="10">
        <v>618</v>
      </c>
      <c r="N8" s="7">
        <v>0</v>
      </c>
    </row>
    <row r="9" spans="1:15" x14ac:dyDescent="0.25">
      <c r="A9" s="17"/>
      <c r="B9" s="17">
        <v>259980000</v>
      </c>
      <c r="C9" s="5">
        <v>3</v>
      </c>
      <c r="D9" s="29">
        <v>22000</v>
      </c>
      <c r="E9" s="10">
        <v>42000</v>
      </c>
      <c r="F9" s="10">
        <v>1260</v>
      </c>
      <c r="G9" s="10">
        <v>2460</v>
      </c>
      <c r="H9" s="10">
        <v>54</v>
      </c>
      <c r="I9" s="10">
        <v>44514</v>
      </c>
      <c r="J9" s="10">
        <v>779955486</v>
      </c>
      <c r="K9" s="25" t="s">
        <v>20</v>
      </c>
      <c r="L9" s="24">
        <v>68509</v>
      </c>
      <c r="M9" s="10">
        <v>23296</v>
      </c>
      <c r="N9" s="7">
        <v>23339.8</v>
      </c>
    </row>
    <row r="10" spans="1:15" x14ac:dyDescent="0.25">
      <c r="A10" s="17"/>
      <c r="B10" s="17">
        <v>259958000</v>
      </c>
      <c r="C10" s="5">
        <v>4</v>
      </c>
      <c r="D10" s="29">
        <v>22000</v>
      </c>
      <c r="E10" s="13">
        <v>64000</v>
      </c>
      <c r="F10" s="13">
        <v>1920</v>
      </c>
      <c r="G10" s="13">
        <v>4380</v>
      </c>
      <c r="H10" s="13">
        <v>129</v>
      </c>
      <c r="I10" s="13">
        <v>68509</v>
      </c>
      <c r="J10" s="13">
        <v>779931491</v>
      </c>
      <c r="K10" s="22" t="s">
        <v>26</v>
      </c>
      <c r="L10" s="20">
        <v>779931491</v>
      </c>
      <c r="M10" s="13">
        <v>23995</v>
      </c>
      <c r="N10" s="7">
        <v>22660</v>
      </c>
    </row>
    <row r="11" spans="1:15" x14ac:dyDescent="0.25">
      <c r="A11" s="3"/>
      <c r="B11" s="17"/>
      <c r="C11" s="5"/>
      <c r="D11" s="14">
        <v>64000</v>
      </c>
      <c r="E11" s="15"/>
      <c r="F11" s="15"/>
      <c r="G11" s="15"/>
      <c r="H11" s="15"/>
      <c r="I11" s="15">
        <v>68509</v>
      </c>
      <c r="J11" s="15"/>
      <c r="K11" s="15"/>
      <c r="L11" s="15"/>
      <c r="M11" s="13">
        <v>68509</v>
      </c>
      <c r="N11" s="7">
        <v>68509.976200000005</v>
      </c>
    </row>
    <row r="12" spans="1:15" x14ac:dyDescent="0.25">
      <c r="A12" s="5" t="s">
        <v>12</v>
      </c>
      <c r="B12" s="5"/>
      <c r="C12" s="5"/>
      <c r="D12" s="26"/>
      <c r="E12" s="27"/>
      <c r="F12" s="27"/>
      <c r="G12" s="27"/>
      <c r="H12" s="27"/>
      <c r="I12" s="27"/>
      <c r="J12" s="27"/>
      <c r="K12" s="27"/>
      <c r="L12" s="27"/>
      <c r="M12" s="13"/>
      <c r="N12" s="7"/>
    </row>
    <row r="13" spans="1:15" x14ac:dyDescent="0.25">
      <c r="A13" s="17">
        <v>260000000</v>
      </c>
      <c r="B13" s="17"/>
      <c r="C13" s="5"/>
      <c r="D13" s="5" t="s">
        <v>5</v>
      </c>
      <c r="E13" s="36" t="s">
        <v>21</v>
      </c>
      <c r="F13" s="5" t="s">
        <v>1</v>
      </c>
      <c r="G13" s="5"/>
      <c r="H13" s="5" t="s">
        <v>9</v>
      </c>
      <c r="I13" s="33" t="s">
        <v>16</v>
      </c>
      <c r="J13" s="33" t="s">
        <v>16</v>
      </c>
      <c r="K13" s="27"/>
      <c r="L13" s="27"/>
      <c r="M13" s="13"/>
      <c r="N13" s="7"/>
    </row>
    <row r="14" spans="1:15" x14ac:dyDescent="0.25">
      <c r="A14" s="3"/>
      <c r="B14" s="5" t="s">
        <v>15</v>
      </c>
      <c r="C14" s="5" t="s">
        <v>14</v>
      </c>
      <c r="D14" s="5" t="s">
        <v>6</v>
      </c>
      <c r="E14" s="37" t="s">
        <v>35</v>
      </c>
      <c r="F14" s="5" t="s">
        <v>2</v>
      </c>
      <c r="G14" s="5" t="s">
        <v>0</v>
      </c>
      <c r="H14" s="5" t="s">
        <v>10</v>
      </c>
      <c r="I14" s="34" t="s">
        <v>17</v>
      </c>
      <c r="J14" s="34" t="s">
        <v>19</v>
      </c>
      <c r="K14" s="32" t="s">
        <v>24</v>
      </c>
      <c r="L14" s="32"/>
      <c r="M14" s="5" t="s">
        <v>29</v>
      </c>
      <c r="N14" s="8" t="s">
        <v>56</v>
      </c>
    </row>
    <row r="15" spans="1:15" x14ac:dyDescent="0.25">
      <c r="A15" s="16" t="s">
        <v>30</v>
      </c>
      <c r="B15" s="17">
        <v>519936000</v>
      </c>
      <c r="C15" s="5">
        <v>5</v>
      </c>
      <c r="D15" s="29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780000000</v>
      </c>
      <c r="K15" s="21" t="s">
        <v>27</v>
      </c>
      <c r="L15" s="19">
        <v>0</v>
      </c>
      <c r="M15" s="10">
        <v>0</v>
      </c>
      <c r="N15" s="7">
        <v>0</v>
      </c>
    </row>
    <row r="16" spans="1:15" x14ac:dyDescent="0.25">
      <c r="A16" s="3"/>
      <c r="B16" s="17">
        <v>519936000</v>
      </c>
      <c r="C16" s="5">
        <v>6</v>
      </c>
      <c r="D16" s="29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780000000</v>
      </c>
      <c r="K16" s="21" t="s">
        <v>28</v>
      </c>
      <c r="L16" s="19">
        <v>0</v>
      </c>
      <c r="M16" s="10">
        <v>0</v>
      </c>
      <c r="N16" s="7">
        <v>0</v>
      </c>
    </row>
    <row r="17" spans="1:15" x14ac:dyDescent="0.25">
      <c r="A17" s="3"/>
      <c r="B17" s="17">
        <v>519936000</v>
      </c>
      <c r="C17" s="5">
        <v>7</v>
      </c>
      <c r="D17" s="29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780000000</v>
      </c>
      <c r="K17" s="25" t="s">
        <v>20</v>
      </c>
      <c r="L17" s="24">
        <v>0</v>
      </c>
      <c r="M17" s="10">
        <v>0</v>
      </c>
      <c r="N17" s="7">
        <v>0</v>
      </c>
    </row>
    <row r="18" spans="1:15" x14ac:dyDescent="0.25">
      <c r="A18" s="3"/>
      <c r="B18" s="17">
        <v>519936000</v>
      </c>
      <c r="C18" s="5">
        <v>8</v>
      </c>
      <c r="D18" s="29">
        <v>0</v>
      </c>
      <c r="E18" s="13">
        <v>0</v>
      </c>
      <c r="F18" s="13">
        <v>0</v>
      </c>
      <c r="G18" s="13">
        <v>0</v>
      </c>
      <c r="H18" s="13">
        <v>0</v>
      </c>
      <c r="I18" s="13">
        <v>68509</v>
      </c>
      <c r="J18" s="13">
        <v>779931491</v>
      </c>
      <c r="K18" s="22" t="s">
        <v>26</v>
      </c>
      <c r="L18" s="20">
        <v>779931491</v>
      </c>
      <c r="M18" s="13">
        <v>0</v>
      </c>
      <c r="N18" s="7">
        <v>0</v>
      </c>
    </row>
    <row r="19" spans="1:15" x14ac:dyDescent="0.25">
      <c r="A19" s="3"/>
      <c r="B19" s="5"/>
      <c r="C19" s="5"/>
      <c r="D19" s="14">
        <v>0</v>
      </c>
      <c r="E19" s="15"/>
      <c r="F19" s="15"/>
      <c r="G19" s="15"/>
      <c r="H19" s="15"/>
      <c r="I19" s="15">
        <v>68509</v>
      </c>
      <c r="J19" s="15"/>
      <c r="K19" s="15"/>
      <c r="L19" s="15"/>
      <c r="M19" s="13">
        <v>0</v>
      </c>
      <c r="N19" s="7">
        <v>0</v>
      </c>
    </row>
    <row r="20" spans="1:15" x14ac:dyDescent="0.25">
      <c r="A20" s="5" t="s">
        <v>13</v>
      </c>
      <c r="B20" s="5"/>
      <c r="C20" s="5"/>
      <c r="D20" s="26"/>
      <c r="E20" s="27"/>
      <c r="F20" s="27"/>
      <c r="G20" s="27"/>
      <c r="H20" s="27"/>
      <c r="I20" s="27"/>
      <c r="J20" s="27"/>
      <c r="K20" s="27"/>
      <c r="L20" s="27"/>
      <c r="M20" s="13"/>
      <c r="N20" s="7"/>
    </row>
    <row r="21" spans="1:15" x14ac:dyDescent="0.25">
      <c r="A21" s="17">
        <v>779931491</v>
      </c>
      <c r="B21" s="17"/>
      <c r="C21" s="5"/>
      <c r="D21" s="5" t="s">
        <v>5</v>
      </c>
      <c r="E21" s="36" t="s">
        <v>21</v>
      </c>
      <c r="F21" s="5" t="s">
        <v>1</v>
      </c>
      <c r="G21" s="5"/>
      <c r="H21" s="5" t="s">
        <v>9</v>
      </c>
      <c r="I21" s="33" t="s">
        <v>16</v>
      </c>
      <c r="J21" s="33" t="s">
        <v>16</v>
      </c>
      <c r="K21" s="27"/>
      <c r="L21" s="27"/>
      <c r="M21" s="13"/>
      <c r="N21" s="7"/>
    </row>
    <row r="22" spans="1:15" x14ac:dyDescent="0.25">
      <c r="A22" s="16" t="s">
        <v>34</v>
      </c>
      <c r="B22" s="5" t="s">
        <v>15</v>
      </c>
      <c r="C22" s="5" t="s">
        <v>14</v>
      </c>
      <c r="D22" s="5" t="s">
        <v>6</v>
      </c>
      <c r="E22" s="37" t="s">
        <v>35</v>
      </c>
      <c r="F22" s="5" t="s">
        <v>2</v>
      </c>
      <c r="G22" s="5" t="s">
        <v>0</v>
      </c>
      <c r="H22" s="5" t="s">
        <v>10</v>
      </c>
      <c r="I22" s="34" t="s">
        <v>17</v>
      </c>
      <c r="J22" s="34" t="s">
        <v>19</v>
      </c>
      <c r="K22" s="32" t="s">
        <v>25</v>
      </c>
      <c r="L22" s="32"/>
      <c r="M22" s="5" t="s">
        <v>29</v>
      </c>
      <c r="N22" s="8" t="s">
        <v>56</v>
      </c>
    </row>
    <row r="23" spans="1:15" x14ac:dyDescent="0.25">
      <c r="A23" s="28">
        <v>779931491</v>
      </c>
      <c r="B23" s="17">
        <v>692959028</v>
      </c>
      <c r="C23" s="5">
        <v>9</v>
      </c>
      <c r="D23" s="29">
        <v>0</v>
      </c>
      <c r="E23" s="10">
        <v>0</v>
      </c>
      <c r="F23" s="10">
        <v>0</v>
      </c>
      <c r="G23" s="10">
        <v>0</v>
      </c>
      <c r="H23" s="10">
        <v>0</v>
      </c>
      <c r="I23" s="26">
        <v>68509</v>
      </c>
      <c r="J23" s="10">
        <v>779931491</v>
      </c>
      <c r="K23" s="21" t="s">
        <v>27</v>
      </c>
      <c r="L23" s="19">
        <v>0</v>
      </c>
      <c r="M23" s="10">
        <v>0</v>
      </c>
      <c r="N23" s="7">
        <v>0</v>
      </c>
    </row>
    <row r="24" spans="1:15" x14ac:dyDescent="0.25">
      <c r="A24" s="22">
        <v>779931491</v>
      </c>
      <c r="B24" s="17">
        <v>713747798</v>
      </c>
      <c r="C24" s="5">
        <v>10</v>
      </c>
      <c r="D24" s="29">
        <v>0</v>
      </c>
      <c r="E24" s="10">
        <v>0</v>
      </c>
      <c r="F24" s="10">
        <v>0</v>
      </c>
      <c r="G24" s="10">
        <v>0</v>
      </c>
      <c r="H24" s="10">
        <v>0</v>
      </c>
      <c r="I24" s="26">
        <v>68509</v>
      </c>
      <c r="J24" s="10">
        <v>779931491</v>
      </c>
      <c r="K24" s="21" t="s">
        <v>28</v>
      </c>
      <c r="L24" s="19">
        <v>0</v>
      </c>
      <c r="M24" s="10">
        <v>0</v>
      </c>
      <c r="N24" s="7">
        <v>0</v>
      </c>
    </row>
    <row r="25" spans="1:15" x14ac:dyDescent="0.25">
      <c r="A25" s="11">
        <v>779931491</v>
      </c>
      <c r="B25" s="17">
        <v>735160232</v>
      </c>
      <c r="C25" s="5">
        <v>11</v>
      </c>
      <c r="D25" s="29">
        <v>0</v>
      </c>
      <c r="E25" s="10">
        <v>0</v>
      </c>
      <c r="F25" s="10">
        <v>0</v>
      </c>
      <c r="G25" s="10">
        <v>0</v>
      </c>
      <c r="H25" s="10">
        <v>0</v>
      </c>
      <c r="I25" s="26">
        <v>68509</v>
      </c>
      <c r="J25" s="10">
        <v>779931491</v>
      </c>
      <c r="K25" s="25" t="s">
        <v>20</v>
      </c>
      <c r="L25" s="24">
        <v>0</v>
      </c>
      <c r="M25" s="10">
        <v>0</v>
      </c>
      <c r="N25" s="7">
        <v>0</v>
      </c>
    </row>
    <row r="26" spans="1:15" x14ac:dyDescent="0.25">
      <c r="A26" s="11">
        <v>779931491</v>
      </c>
      <c r="B26" s="17">
        <v>757215039</v>
      </c>
      <c r="C26" s="5">
        <v>12</v>
      </c>
      <c r="D26" s="29">
        <v>0</v>
      </c>
      <c r="E26" s="10">
        <v>0</v>
      </c>
      <c r="F26" s="10">
        <v>0</v>
      </c>
      <c r="G26" s="10">
        <v>0</v>
      </c>
      <c r="H26" s="10">
        <v>0</v>
      </c>
      <c r="I26" s="26">
        <v>68509</v>
      </c>
      <c r="J26" s="10">
        <v>779931491</v>
      </c>
      <c r="K26" s="22" t="s">
        <v>26</v>
      </c>
      <c r="L26" s="60">
        <v>779931491</v>
      </c>
      <c r="M26" s="10">
        <v>0</v>
      </c>
      <c r="N26" s="7">
        <v>0</v>
      </c>
    </row>
    <row r="27" spans="1:15" x14ac:dyDescent="0.25">
      <c r="A27" s="25" t="s">
        <v>55</v>
      </c>
      <c r="B27" s="58">
        <v>779931491</v>
      </c>
      <c r="C27" s="3"/>
      <c r="D27" s="72">
        <v>0</v>
      </c>
      <c r="E27" s="66">
        <v>0</v>
      </c>
      <c r="F27" s="66">
        <v>4380</v>
      </c>
      <c r="G27" s="67">
        <v>0</v>
      </c>
      <c r="H27" s="66">
        <v>0</v>
      </c>
      <c r="I27" s="67">
        <v>68509</v>
      </c>
      <c r="J27" s="67">
        <v>779931491</v>
      </c>
      <c r="K27" s="11"/>
      <c r="L27" s="61">
        <v>779931491</v>
      </c>
      <c r="M27" s="13">
        <v>0</v>
      </c>
      <c r="N27" s="7">
        <v>0</v>
      </c>
    </row>
    <row r="28" spans="1:15" x14ac:dyDescent="0.25">
      <c r="D28" s="21">
        <v>64000</v>
      </c>
      <c r="E28" s="4"/>
      <c r="F28" s="4"/>
      <c r="G28" s="69" t="s">
        <v>8</v>
      </c>
      <c r="H28" s="70">
        <v>4509</v>
      </c>
      <c r="I28" s="56">
        <v>6.5816170138230018E-2</v>
      </c>
      <c r="J28" s="71"/>
      <c r="K28" s="23" t="s">
        <v>32</v>
      </c>
      <c r="L28" s="62">
        <v>68509</v>
      </c>
      <c r="M28" s="59">
        <v>68509</v>
      </c>
      <c r="N28" s="31">
        <v>68509.976200000005</v>
      </c>
      <c r="O28" s="7"/>
    </row>
    <row r="29" spans="1:15" x14ac:dyDescent="0.25">
      <c r="B29" s="30"/>
      <c r="G29" s="46" t="s">
        <v>57</v>
      </c>
      <c r="H29" s="65">
        <v>64000</v>
      </c>
      <c r="N29" s="64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EB1D9-E879-4530-A094-BE4F9CA31D1A}">
  <dimension ref="A2:O29"/>
  <sheetViews>
    <sheetView zoomScaleNormal="100" workbookViewId="0">
      <selection activeCell="L2" sqref="L2"/>
    </sheetView>
  </sheetViews>
  <sheetFormatPr defaultRowHeight="15" x14ac:dyDescent="0.25"/>
  <cols>
    <col min="1" max="2" width="12.7109375" customWidth="1"/>
    <col min="3" max="3" width="6.7109375" customWidth="1"/>
    <col min="4" max="5" width="10.7109375" customWidth="1"/>
    <col min="6" max="12" width="12.7109375" customWidth="1"/>
    <col min="13" max="14" width="14.7109375" customWidth="1"/>
    <col min="15" max="15" width="12.7109375" customWidth="1"/>
  </cols>
  <sheetData>
    <row r="2" spans="1:15" x14ac:dyDescent="0.25">
      <c r="E2" s="18"/>
      <c r="F2" s="18"/>
      <c r="G2" s="18" t="s">
        <v>7</v>
      </c>
      <c r="H2" s="18"/>
      <c r="I2" s="18"/>
      <c r="J2" s="18"/>
      <c r="K2" s="2"/>
      <c r="L2" s="2"/>
    </row>
    <row r="3" spans="1:15" x14ac:dyDescent="0.25">
      <c r="E3" s="18"/>
      <c r="F3" s="18"/>
      <c r="G3" s="18" t="s">
        <v>33</v>
      </c>
      <c r="H3" s="18"/>
      <c r="I3" s="18"/>
      <c r="J3" s="18"/>
      <c r="K3" s="2"/>
      <c r="L3" s="2"/>
    </row>
    <row r="4" spans="1:15" ht="15.75" customHeight="1" x14ac:dyDescent="0.25">
      <c r="A4" s="5" t="s">
        <v>11</v>
      </c>
      <c r="B4" s="5"/>
      <c r="C4" s="1"/>
      <c r="D4" s="5" t="s">
        <v>5</v>
      </c>
      <c r="E4" s="5" t="s">
        <v>21</v>
      </c>
      <c r="F4" s="78" t="s">
        <v>1</v>
      </c>
      <c r="G4" s="78"/>
      <c r="H4" s="5" t="s">
        <v>9</v>
      </c>
      <c r="I4" s="16" t="s">
        <v>16</v>
      </c>
      <c r="J4" s="16" t="s">
        <v>20</v>
      </c>
      <c r="K4" s="78" t="s">
        <v>18</v>
      </c>
      <c r="L4" s="78"/>
      <c r="M4" s="78" t="s">
        <v>3</v>
      </c>
      <c r="N4" s="78"/>
      <c r="O4" s="3"/>
    </row>
    <row r="5" spans="1:15" x14ac:dyDescent="0.25">
      <c r="A5" s="17">
        <f>K5/3</f>
        <v>260000000</v>
      </c>
      <c r="B5" s="17"/>
      <c r="D5" s="5" t="s">
        <v>6</v>
      </c>
      <c r="E5" s="5" t="s">
        <v>6</v>
      </c>
      <c r="F5" s="5" t="s">
        <v>2</v>
      </c>
      <c r="G5" s="5" t="s">
        <v>0</v>
      </c>
      <c r="H5" s="5" t="s">
        <v>10</v>
      </c>
      <c r="I5" s="16" t="s">
        <v>5</v>
      </c>
      <c r="J5" s="16" t="s">
        <v>19</v>
      </c>
      <c r="K5" s="79">
        <v>780000000</v>
      </c>
      <c r="L5" s="79"/>
      <c r="M5" s="78" t="s">
        <v>4</v>
      </c>
      <c r="N5" s="78"/>
      <c r="O5" s="3"/>
    </row>
    <row r="6" spans="1:15" x14ac:dyDescent="0.25">
      <c r="A6" s="5"/>
      <c r="B6" s="5" t="s">
        <v>15</v>
      </c>
      <c r="C6" s="5" t="s">
        <v>14</v>
      </c>
      <c r="D6" s="5" t="s">
        <v>31</v>
      </c>
      <c r="E6" s="5" t="s">
        <v>22</v>
      </c>
      <c r="F6" s="6">
        <v>0.03</v>
      </c>
      <c r="G6" s="6"/>
      <c r="H6" s="6">
        <f>F6</f>
        <v>0.03</v>
      </c>
      <c r="I6" s="16" t="s">
        <v>17</v>
      </c>
      <c r="J6" s="16" t="s">
        <v>36</v>
      </c>
      <c r="K6" s="77" t="s">
        <v>23</v>
      </c>
      <c r="L6" s="77"/>
      <c r="M6" s="5" t="s">
        <v>29</v>
      </c>
      <c r="N6" s="8" t="s">
        <v>56</v>
      </c>
    </row>
    <row r="7" spans="1:15" x14ac:dyDescent="0.25">
      <c r="A7" s="16" t="s">
        <v>30</v>
      </c>
      <c r="B7" s="17">
        <f>A5</f>
        <v>260000000</v>
      </c>
      <c r="C7" s="5">
        <v>1</v>
      </c>
      <c r="D7" s="29">
        <v>100000000</v>
      </c>
      <c r="E7" s="10">
        <f>D7</f>
        <v>100000000</v>
      </c>
      <c r="F7" s="10">
        <f>INT(E7*$F$6)</f>
        <v>3000000</v>
      </c>
      <c r="G7" s="10">
        <f>SUM($F$7:F7)</f>
        <v>3000000</v>
      </c>
      <c r="H7" s="10">
        <v>0</v>
      </c>
      <c r="I7" s="10">
        <f t="shared" ref="I7:I10" si="0">E7+G7+H7</f>
        <v>103000000</v>
      </c>
      <c r="J7" s="10">
        <f>$K$5-I7</f>
        <v>677000000</v>
      </c>
      <c r="K7" s="21" t="s">
        <v>27</v>
      </c>
      <c r="L7" s="19">
        <f>SUM(D7:D10)</f>
        <v>260000000</v>
      </c>
      <c r="M7" s="10">
        <f>D7+G7</f>
        <v>103000000</v>
      </c>
      <c r="N7" s="7">
        <f t="shared" ref="N7:N10" si="1">D7*(1+$H$6)^(4-C7+1)</f>
        <v>112550880.99999999</v>
      </c>
    </row>
    <row r="8" spans="1:15" x14ac:dyDescent="0.25">
      <c r="A8" s="17"/>
      <c r="B8" s="17">
        <f>(B7-D7)</f>
        <v>160000000</v>
      </c>
      <c r="C8" s="5">
        <f>1+C7</f>
        <v>2</v>
      </c>
      <c r="D8" s="29">
        <v>80000000</v>
      </c>
      <c r="E8" s="10">
        <f>D8+E7</f>
        <v>180000000</v>
      </c>
      <c r="F8" s="10">
        <f t="shared" ref="F8:F18" si="2">INT(E8*$F$6)</f>
        <v>5400000</v>
      </c>
      <c r="G8" s="10">
        <f>SUM($F$7:F8)</f>
        <v>8400000</v>
      </c>
      <c r="H8" s="10">
        <f>INT($H$6*SUM($G$7:G7))</f>
        <v>90000</v>
      </c>
      <c r="I8" s="10">
        <f t="shared" si="0"/>
        <v>188490000</v>
      </c>
      <c r="J8" s="10">
        <f>$K$5-I8</f>
        <v>591510000</v>
      </c>
      <c r="K8" s="21" t="s">
        <v>28</v>
      </c>
      <c r="L8" s="19">
        <f>SUM(F7:F10)+H10</f>
        <v>23605041</v>
      </c>
      <c r="M8" s="10">
        <f>D8+F8+H8-H7</f>
        <v>85490000</v>
      </c>
      <c r="N8" s="7">
        <f t="shared" si="1"/>
        <v>87418160</v>
      </c>
    </row>
    <row r="9" spans="1:15" x14ac:dyDescent="0.25">
      <c r="A9" s="17"/>
      <c r="B9" s="17">
        <f t="shared" ref="B9:B10" si="3">(B8-D8)</f>
        <v>80000000</v>
      </c>
      <c r="C9" s="5">
        <f t="shared" ref="C9:C18" si="4">1+C8</f>
        <v>3</v>
      </c>
      <c r="D9" s="29">
        <v>40000000</v>
      </c>
      <c r="E9" s="10">
        <f t="shared" ref="E9:E18" si="5">D9+E8</f>
        <v>220000000</v>
      </c>
      <c r="F9" s="10">
        <f t="shared" si="2"/>
        <v>6600000</v>
      </c>
      <c r="G9" s="10">
        <f>SUM($F$7:F9)</f>
        <v>15000000</v>
      </c>
      <c r="H9" s="10">
        <f>INT($H$6*SUM($G$7:G8)+$H$6*SUM($H$7:H8))</f>
        <v>344700</v>
      </c>
      <c r="I9" s="10">
        <f t="shared" si="0"/>
        <v>235344700</v>
      </c>
      <c r="J9" s="10">
        <f>$K$5-I9</f>
        <v>544655300</v>
      </c>
      <c r="K9" s="25" t="s">
        <v>20</v>
      </c>
      <c r="L9" s="24">
        <f>L7+L8</f>
        <v>283605041</v>
      </c>
      <c r="M9" s="10">
        <f>D9+F9+H9-H8</f>
        <v>46854700</v>
      </c>
      <c r="N9" s="7">
        <f t="shared" si="1"/>
        <v>42436000</v>
      </c>
    </row>
    <row r="10" spans="1:15" x14ac:dyDescent="0.25">
      <c r="A10" s="17"/>
      <c r="B10" s="17">
        <f t="shared" si="3"/>
        <v>40000000</v>
      </c>
      <c r="C10" s="5">
        <f t="shared" si="4"/>
        <v>4</v>
      </c>
      <c r="D10" s="29">
        <v>40000000</v>
      </c>
      <c r="E10" s="13">
        <f t="shared" si="5"/>
        <v>260000000</v>
      </c>
      <c r="F10" s="13">
        <f>INT(E10*$F$6)</f>
        <v>7800000</v>
      </c>
      <c r="G10" s="13">
        <f>SUM($F$7:F10)</f>
        <v>22800000</v>
      </c>
      <c r="H10" s="13">
        <f>INT($H$6*SUM($G$7:G9)+$H$6*SUM($H$7:H9))</f>
        <v>805041</v>
      </c>
      <c r="I10" s="13">
        <f t="shared" si="0"/>
        <v>283605041</v>
      </c>
      <c r="J10" s="13">
        <f>$K$5-I10</f>
        <v>496394959</v>
      </c>
      <c r="K10" s="22" t="s">
        <v>26</v>
      </c>
      <c r="L10" s="20">
        <f>K5-L7-L8</f>
        <v>496394959</v>
      </c>
      <c r="M10" s="13">
        <f>D10+F10+H10-H9</f>
        <v>48260341</v>
      </c>
      <c r="N10" s="7">
        <f t="shared" si="1"/>
        <v>41200000</v>
      </c>
    </row>
    <row r="11" spans="1:15" x14ac:dyDescent="0.25">
      <c r="A11" s="3"/>
      <c r="B11" s="17"/>
      <c r="C11" s="5"/>
      <c r="D11" s="14">
        <f>SUM(D7:D10)</f>
        <v>260000000</v>
      </c>
      <c r="E11" s="15"/>
      <c r="F11" s="15"/>
      <c r="G11" s="15"/>
      <c r="H11" s="15"/>
      <c r="I11" s="15">
        <f>I10</f>
        <v>283605041</v>
      </c>
      <c r="J11" s="15"/>
      <c r="K11" s="15"/>
      <c r="L11" s="15"/>
      <c r="M11" s="13">
        <f>SUM(M7:M10)</f>
        <v>283605041</v>
      </c>
      <c r="N11" s="7">
        <f>SUM(N7:N10)</f>
        <v>283605041</v>
      </c>
    </row>
    <row r="12" spans="1:15" x14ac:dyDescent="0.25">
      <c r="A12" s="5" t="s">
        <v>12</v>
      </c>
      <c r="B12" s="5"/>
      <c r="C12" s="5"/>
      <c r="D12" s="26"/>
      <c r="E12" s="27"/>
      <c r="F12" s="27"/>
      <c r="G12" s="27"/>
      <c r="H12" s="27"/>
      <c r="I12" s="27"/>
      <c r="J12" s="27"/>
      <c r="K12" s="27"/>
      <c r="L12" s="27"/>
      <c r="M12" s="13"/>
      <c r="N12" s="7"/>
    </row>
    <row r="13" spans="1:15" x14ac:dyDescent="0.25">
      <c r="A13" s="17">
        <f>K5/3</f>
        <v>260000000</v>
      </c>
      <c r="B13" s="17"/>
      <c r="C13" s="5"/>
      <c r="D13" s="5" t="s">
        <v>5</v>
      </c>
      <c r="E13" s="36" t="s">
        <v>21</v>
      </c>
      <c r="F13" s="78" t="s">
        <v>1</v>
      </c>
      <c r="G13" s="78"/>
      <c r="H13" s="5" t="s">
        <v>9</v>
      </c>
      <c r="I13" s="33" t="s">
        <v>16</v>
      </c>
      <c r="J13" s="33" t="s">
        <v>16</v>
      </c>
      <c r="K13" s="27"/>
      <c r="L13" s="27"/>
      <c r="M13" s="13"/>
      <c r="N13" s="7"/>
    </row>
    <row r="14" spans="1:15" x14ac:dyDescent="0.25">
      <c r="A14" s="3"/>
      <c r="B14" s="5" t="s">
        <v>15</v>
      </c>
      <c r="C14" s="5" t="s">
        <v>14</v>
      </c>
      <c r="D14" s="5" t="s">
        <v>6</v>
      </c>
      <c r="E14" s="37" t="s">
        <v>35</v>
      </c>
      <c r="F14" s="5" t="s">
        <v>2</v>
      </c>
      <c r="G14" s="5" t="s">
        <v>0</v>
      </c>
      <c r="H14" s="5" t="s">
        <v>10</v>
      </c>
      <c r="I14" s="34" t="s">
        <v>17</v>
      </c>
      <c r="J14" s="34" t="s">
        <v>19</v>
      </c>
      <c r="K14" s="77" t="s">
        <v>24</v>
      </c>
      <c r="L14" s="77"/>
      <c r="M14" s="5" t="s">
        <v>29</v>
      </c>
      <c r="N14" s="8" t="s">
        <v>56</v>
      </c>
    </row>
    <row r="15" spans="1:15" x14ac:dyDescent="0.25">
      <c r="A15" s="16" t="s">
        <v>30</v>
      </c>
      <c r="B15" s="17">
        <f>B7-L7+A13</f>
        <v>260000000</v>
      </c>
      <c r="C15" s="5">
        <f>1+C10</f>
        <v>5</v>
      </c>
      <c r="D15" s="29">
        <v>100000000</v>
      </c>
      <c r="E15" s="10">
        <f>D15</f>
        <v>100000000</v>
      </c>
      <c r="F15" s="10">
        <f>INT(E15*$F$6)</f>
        <v>3000000</v>
      </c>
      <c r="G15" s="10">
        <f>SUM($F$15:F15)</f>
        <v>3000000</v>
      </c>
      <c r="H15" s="10">
        <v>0</v>
      </c>
      <c r="I15" s="10">
        <f>IF(E15+G15+H15=0,0,E15+G15+H15+$I$10)</f>
        <v>386605041</v>
      </c>
      <c r="J15" s="10">
        <f>$K$5-I15</f>
        <v>393394959</v>
      </c>
      <c r="K15" s="21" t="s">
        <v>27</v>
      </c>
      <c r="L15" s="19">
        <f>SUM(D15:D18)</f>
        <v>260000000</v>
      </c>
      <c r="M15" s="10">
        <f>D15+F15</f>
        <v>103000000</v>
      </c>
      <c r="N15" s="7">
        <f>D15*(1+$H$6)^(8-C15+1)</f>
        <v>112550880.99999999</v>
      </c>
    </row>
    <row r="16" spans="1:15" x14ac:dyDescent="0.25">
      <c r="A16" s="3"/>
      <c r="B16" s="17">
        <f>(B15-D15)</f>
        <v>160000000</v>
      </c>
      <c r="C16" s="5">
        <f t="shared" si="4"/>
        <v>6</v>
      </c>
      <c r="D16" s="29">
        <v>80000000</v>
      </c>
      <c r="E16" s="10">
        <f t="shared" si="5"/>
        <v>180000000</v>
      </c>
      <c r="F16" s="10">
        <f t="shared" si="2"/>
        <v>5400000</v>
      </c>
      <c r="G16" s="10">
        <f>SUM($F$15:F16)</f>
        <v>8400000</v>
      </c>
      <c r="H16" s="10">
        <f>INT($H$6*SUM($G$15:G15))</f>
        <v>90000</v>
      </c>
      <c r="I16" s="10">
        <f t="shared" ref="I16:I17" si="6">IF(E16+G16+H16=0,0,E16+G16+H16+$I$10)</f>
        <v>472095041</v>
      </c>
      <c r="J16" s="10">
        <f>$K$5-I16</f>
        <v>307904959</v>
      </c>
      <c r="K16" s="21" t="s">
        <v>28</v>
      </c>
      <c r="L16" s="19">
        <f>SUM(F15:F18)+H18</f>
        <v>23605041</v>
      </c>
      <c r="M16" s="10">
        <f>D16+F16+H16-H15</f>
        <v>85490000</v>
      </c>
      <c r="N16" s="7">
        <f t="shared" ref="N16:N18" si="7">D16*(1+$H$6)^(8-C16+1)</f>
        <v>87418160</v>
      </c>
    </row>
    <row r="17" spans="1:15" x14ac:dyDescent="0.25">
      <c r="A17" s="3"/>
      <c r="B17" s="17">
        <f t="shared" ref="B17:B18" si="8">(B16-D16)</f>
        <v>80000000</v>
      </c>
      <c r="C17" s="5">
        <f t="shared" si="4"/>
        <v>7</v>
      </c>
      <c r="D17" s="29">
        <v>40000000</v>
      </c>
      <c r="E17" s="10">
        <f t="shared" si="5"/>
        <v>220000000</v>
      </c>
      <c r="F17" s="10">
        <f t="shared" si="2"/>
        <v>6600000</v>
      </c>
      <c r="G17" s="10">
        <f>SUM($F$15:F17)</f>
        <v>15000000</v>
      </c>
      <c r="H17" s="10">
        <f>INT($H$6*SUM($G$15:G16)+$H$6*SUM($H$15:H16))</f>
        <v>344700</v>
      </c>
      <c r="I17" s="10">
        <f t="shared" si="6"/>
        <v>518949741</v>
      </c>
      <c r="J17" s="10">
        <f>$K$5-I17</f>
        <v>261050259</v>
      </c>
      <c r="K17" s="25" t="s">
        <v>20</v>
      </c>
      <c r="L17" s="24">
        <f>L15+L16</f>
        <v>283605041</v>
      </c>
      <c r="M17" s="10">
        <f>D17+F17+H17-H16</f>
        <v>46854700</v>
      </c>
      <c r="N17" s="7">
        <f t="shared" si="7"/>
        <v>42436000</v>
      </c>
    </row>
    <row r="18" spans="1:15" x14ac:dyDescent="0.25">
      <c r="A18" s="3"/>
      <c r="B18" s="17">
        <f t="shared" si="8"/>
        <v>40000000</v>
      </c>
      <c r="C18" s="5">
        <f t="shared" si="4"/>
        <v>8</v>
      </c>
      <c r="D18" s="29">
        <v>40000000</v>
      </c>
      <c r="E18" s="13">
        <f t="shared" si="5"/>
        <v>260000000</v>
      </c>
      <c r="F18" s="13">
        <f t="shared" si="2"/>
        <v>7800000</v>
      </c>
      <c r="G18" s="13">
        <f>SUM($F$15:F18)</f>
        <v>22800000</v>
      </c>
      <c r="H18" s="13">
        <f>INT($H$6*SUM($G$15:G17)+$H$6*SUM($H$15:H17))</f>
        <v>805041</v>
      </c>
      <c r="I18" s="13">
        <f t="shared" ref="I18" si="9">E18+G18+H18+$I$10</f>
        <v>567210082</v>
      </c>
      <c r="J18" s="13">
        <f>$K$5-I18</f>
        <v>212789918</v>
      </c>
      <c r="K18" s="22" t="s">
        <v>26</v>
      </c>
      <c r="L18" s="20">
        <f>IF(L10-L15-L16&lt;=0,0, L10-L15-L16)</f>
        <v>212789918</v>
      </c>
      <c r="M18" s="13">
        <f>D18+F18+H18-H17</f>
        <v>48260341</v>
      </c>
      <c r="N18" s="7">
        <f t="shared" si="7"/>
        <v>41200000</v>
      </c>
    </row>
    <row r="19" spans="1:15" x14ac:dyDescent="0.25">
      <c r="A19" s="3"/>
      <c r="B19" s="5"/>
      <c r="C19" s="5"/>
      <c r="D19" s="14">
        <f>SUM(D15:D18)</f>
        <v>260000000</v>
      </c>
      <c r="E19" s="15"/>
      <c r="F19" s="15"/>
      <c r="G19" s="15"/>
      <c r="H19" s="15"/>
      <c r="I19" s="15">
        <f>I18</f>
        <v>567210082</v>
      </c>
      <c r="J19" s="15"/>
      <c r="K19" s="15"/>
      <c r="L19" s="15"/>
      <c r="M19" s="13">
        <f>SUM(M15:M18)</f>
        <v>283605041</v>
      </c>
      <c r="N19" s="7">
        <f>SUM(N15:N18)</f>
        <v>283605041</v>
      </c>
    </row>
    <row r="20" spans="1:15" x14ac:dyDescent="0.25">
      <c r="A20" s="5" t="s">
        <v>13</v>
      </c>
      <c r="B20" s="5"/>
      <c r="C20" s="5"/>
      <c r="D20" s="26"/>
      <c r="E20" s="27"/>
      <c r="F20" s="27"/>
      <c r="G20" s="27"/>
      <c r="H20" s="27"/>
      <c r="I20" s="27"/>
      <c r="J20" s="27"/>
      <c r="K20" s="27"/>
      <c r="L20" s="27"/>
      <c r="M20" s="13"/>
      <c r="N20" s="7"/>
    </row>
    <row r="21" spans="1:15" x14ac:dyDescent="0.25">
      <c r="A21" s="17">
        <f>INT(L18)</f>
        <v>212789918</v>
      </c>
      <c r="B21" s="17"/>
      <c r="C21" s="5"/>
      <c r="D21" s="5" t="s">
        <v>5</v>
      </c>
      <c r="E21" s="36" t="s">
        <v>21</v>
      </c>
      <c r="F21" s="78" t="s">
        <v>1</v>
      </c>
      <c r="G21" s="78"/>
      <c r="H21" s="5" t="s">
        <v>9</v>
      </c>
      <c r="I21" s="33" t="s">
        <v>16</v>
      </c>
      <c r="J21" s="33" t="s">
        <v>16</v>
      </c>
      <c r="K21" s="27"/>
      <c r="L21" s="27"/>
      <c r="M21" s="13"/>
      <c r="N21" s="7"/>
    </row>
    <row r="22" spans="1:15" x14ac:dyDescent="0.25">
      <c r="A22" s="16" t="s">
        <v>34</v>
      </c>
      <c r="B22" s="5" t="s">
        <v>15</v>
      </c>
      <c r="C22" s="5" t="s">
        <v>14</v>
      </c>
      <c r="D22" s="5" t="s">
        <v>6</v>
      </c>
      <c r="E22" s="37" t="s">
        <v>35</v>
      </c>
      <c r="F22" s="5" t="s">
        <v>2</v>
      </c>
      <c r="G22" s="5" t="s">
        <v>0</v>
      </c>
      <c r="H22" s="5" t="s">
        <v>10</v>
      </c>
      <c r="I22" s="34" t="s">
        <v>17</v>
      </c>
      <c r="J22" s="34" t="s">
        <v>19</v>
      </c>
      <c r="K22" s="77" t="s">
        <v>25</v>
      </c>
      <c r="L22" s="77"/>
      <c r="M22" s="5" t="s">
        <v>29</v>
      </c>
      <c r="N22" s="8" t="s">
        <v>56</v>
      </c>
    </row>
    <row r="23" spans="1:15" x14ac:dyDescent="0.25">
      <c r="A23" s="28">
        <f>A21</f>
        <v>212789918</v>
      </c>
      <c r="B23" s="17">
        <f>IF(A23&lt;=0,0,INT(A23/(1+$F$6)^4))</f>
        <v>189061086</v>
      </c>
      <c r="C23" s="5">
        <f>1+C18</f>
        <v>9</v>
      </c>
      <c r="D23" s="29">
        <v>0</v>
      </c>
      <c r="E23" s="10">
        <f>IF(D23&gt;B23,0,D23)</f>
        <v>0</v>
      </c>
      <c r="F23" s="10">
        <f>IF(E23="not available",0,INT(E23*$F$6))</f>
        <v>0</v>
      </c>
      <c r="G23" s="10">
        <f>SUM($F$23:F23)</f>
        <v>0</v>
      </c>
      <c r="H23" s="10">
        <v>0</v>
      </c>
      <c r="I23" s="26">
        <f>IF(E23="not available",0,INT(D23*(1+$F$6)^4)+$I$18)</f>
        <v>567210082</v>
      </c>
      <c r="J23" s="10">
        <f>IF(B23=0,0,A23-D23*(1+$F$6)^4)</f>
        <v>212789918</v>
      </c>
      <c r="K23" s="21" t="s">
        <v>27</v>
      </c>
      <c r="L23" s="19">
        <f>IF(E23="not available",0,SUM(D23:D26))</f>
        <v>0</v>
      </c>
      <c r="M23" s="10">
        <f>IF(E23="not available",0,D23+F23+H23)</f>
        <v>0</v>
      </c>
      <c r="N23" s="7">
        <f>D23*(1+$H$6)^(12-C23+1)</f>
        <v>0</v>
      </c>
    </row>
    <row r="24" spans="1:15" x14ac:dyDescent="0.25">
      <c r="A24" s="22">
        <f>IF(D23&gt;B23,"oops!!",INT(J23))</f>
        <v>212789918</v>
      </c>
      <c r="B24" s="17">
        <f>IF(B23=0,0,IF(INT(A23-N23)&lt;=0,0,INT($A$24/(1+$F$6)^3)))</f>
        <v>194732918</v>
      </c>
      <c r="C24" s="5">
        <f t="shared" ref="C24:C26" si="10">1+C23</f>
        <v>10</v>
      </c>
      <c r="D24" s="29">
        <v>0</v>
      </c>
      <c r="E24" s="10">
        <f>IF(E23="not available",E23,IF(D24&gt;B24,0,D24+E23))</f>
        <v>0</v>
      </c>
      <c r="F24" s="10">
        <f>IF(OR(D24&gt;B24,F23=0),0,INT(E24*$F$6))</f>
        <v>0</v>
      </c>
      <c r="G24" s="10">
        <f>SUM($F$23:F24)</f>
        <v>0</v>
      </c>
      <c r="H24" s="10">
        <f>INT($H$6*SUM($G$23:G23))</f>
        <v>0</v>
      </c>
      <c r="I24" s="26">
        <f>IF(E24="not available",0,INT(D24*(1+$F$6)^3)+$I$23)</f>
        <v>567210082</v>
      </c>
      <c r="J24" s="10">
        <f>IF(B24=0,J23,A24-D24*(1+$F$6)^3)</f>
        <v>212789918</v>
      </c>
      <c r="K24" s="21" t="s">
        <v>28</v>
      </c>
      <c r="L24" s="19">
        <f>SUM(F23:F26)+H26</f>
        <v>0</v>
      </c>
      <c r="M24" s="10">
        <f>D24+F24+H24-H23</f>
        <v>0</v>
      </c>
      <c r="N24" s="7">
        <f>D24*(1+$H$6)^(12-C24+1)</f>
        <v>0</v>
      </c>
    </row>
    <row r="25" spans="1:15" x14ac:dyDescent="0.25">
      <c r="A25" s="11">
        <f>IF(A24="oops!!","oops!!",IF(D24&gt;B24,"oops!!",INT(J24)))</f>
        <v>212789918</v>
      </c>
      <c r="B25" s="17">
        <f>IF(B24=0,0,IF(INT(A24-N24)&lt;=0,0,INT($A$25/(1+$F$6)^2)))</f>
        <v>200574906</v>
      </c>
      <c r="C25" s="5">
        <f t="shared" si="10"/>
        <v>11</v>
      </c>
      <c r="D25" s="29">
        <v>0</v>
      </c>
      <c r="E25" s="10">
        <f>IF(E24="not available",E24,IF(D25&gt;B25,0,D25+E24))</f>
        <v>0</v>
      </c>
      <c r="F25" s="10">
        <f>IF(OR(D25&gt;B25,F24=0),0,INT(E25*$F$6))</f>
        <v>0</v>
      </c>
      <c r="G25" s="10">
        <f>SUM($F$23:F25)</f>
        <v>0</v>
      </c>
      <c r="H25" s="10">
        <f>INT($H$6*SUM($G$23:G24)+$H$6*SUM($H$23:H24))</f>
        <v>0</v>
      </c>
      <c r="I25" s="26">
        <f>IF(E25="not available",0,INT(D25*(1+$F$6)^2)+$I$24)</f>
        <v>567210082</v>
      </c>
      <c r="J25" s="10">
        <f>IF(B25=0,J24,A25-D25*(1+$F$6)^2)</f>
        <v>212789918</v>
      </c>
      <c r="K25" s="25" t="s">
        <v>20</v>
      </c>
      <c r="L25" s="24">
        <f>L23+L24</f>
        <v>0</v>
      </c>
      <c r="M25" s="10">
        <f>D25+F25+H25-H24</f>
        <v>0</v>
      </c>
      <c r="N25" s="7">
        <f>D25*(1+$H$6)^(12-C25+1)</f>
        <v>0</v>
      </c>
    </row>
    <row r="26" spans="1:15" x14ac:dyDescent="0.25">
      <c r="A26" s="11">
        <f>IF(A25="oops!!","oops!!",IF(D25&gt;B25,"oops!!",INT(J25)))</f>
        <v>212789918</v>
      </c>
      <c r="B26" s="17">
        <f>IF(B25=0,0,IF(INT(A25-N25)&lt;=0,0,INT($A$26/(1+$F$6)^1)))</f>
        <v>206592153</v>
      </c>
      <c r="C26" s="5">
        <f t="shared" si="10"/>
        <v>12</v>
      </c>
      <c r="D26" s="29">
        <v>0</v>
      </c>
      <c r="E26" s="10">
        <f>IF(E25="not available",E25,IF(D26&gt;B26,0,D26+E25))</f>
        <v>0</v>
      </c>
      <c r="F26" s="10">
        <f>IF(OR(D26&gt;B26,F25=0),0,INT(E26*$F$6))</f>
        <v>0</v>
      </c>
      <c r="G26" s="10">
        <f>SUM($F$23:F26)</f>
        <v>0</v>
      </c>
      <c r="H26" s="10">
        <f>INT($H$6*SUM($G$23:G25)+$H$6*SUM($H$23:H25))</f>
        <v>0</v>
      </c>
      <c r="I26" s="26">
        <f>IF(E26="not available",0,INT(D26*(1+$F$6)^1)+$I$25)</f>
        <v>567210082</v>
      </c>
      <c r="J26" s="10">
        <f>IF(B26=0,J25,A26-D26*(1+$F$6)^1)</f>
        <v>212789918</v>
      </c>
      <c r="K26" s="22" t="s">
        <v>26</v>
      </c>
      <c r="L26" s="60">
        <f>IF(E23="not available",0,IF(L18-L23-L24&lt;0,"oops!!",L18-L23-L24))</f>
        <v>212789918</v>
      </c>
      <c r="M26" s="10">
        <f>D26+F26+H26-H25</f>
        <v>0</v>
      </c>
      <c r="N26" s="7">
        <f>D26*(1+$H$6)^(12-C26+1)</f>
        <v>0</v>
      </c>
    </row>
    <row r="27" spans="1:15" x14ac:dyDescent="0.25">
      <c r="A27" s="25" t="s">
        <v>55</v>
      </c>
      <c r="B27" s="58">
        <f>IF(L26&lt;0,"something wrong",L26)</f>
        <v>212789918</v>
      </c>
      <c r="C27" s="3"/>
      <c r="D27" s="72">
        <f>SUM(D23:D26)</f>
        <v>0</v>
      </c>
      <c r="E27" s="66">
        <f>E26</f>
        <v>0</v>
      </c>
      <c r="F27" s="66">
        <f>IF(OR(E27="not available",B27="something wrong"),0,SUM(F7:F26))</f>
        <v>45600000</v>
      </c>
      <c r="G27" s="67">
        <f>G26</f>
        <v>0</v>
      </c>
      <c r="H27" s="66">
        <f>INT($H$6*SUM($G$23:G26)+$H$6*SUM($H$23:H26))</f>
        <v>0</v>
      </c>
      <c r="I27" s="67">
        <f>I26</f>
        <v>567210082</v>
      </c>
      <c r="J27" s="67">
        <f>J26</f>
        <v>212789918</v>
      </c>
      <c r="K27" s="11"/>
      <c r="L27" s="61">
        <f>L18-L23-L24</f>
        <v>212789918</v>
      </c>
      <c r="M27" s="13">
        <f>SUM(M23:M26)</f>
        <v>0</v>
      </c>
      <c r="N27" s="7">
        <f>SUM(N23:N26)</f>
        <v>0</v>
      </c>
    </row>
    <row r="28" spans="1:15" x14ac:dyDescent="0.25">
      <c r="D28" s="21">
        <f>D11+D19+D27</f>
        <v>520000000</v>
      </c>
      <c r="E28" s="4"/>
      <c r="F28" s="4"/>
      <c r="G28" s="69" t="s">
        <v>8</v>
      </c>
      <c r="H28" s="70">
        <f>IF(A21&gt;=K5,0,IF(OR(E27="not available",B27="something wrong",B27="oops!!"),L8+L16+L24,I27-D28))</f>
        <v>47210082</v>
      </c>
      <c r="I28" s="56">
        <f>IF(OR(D28=0,D28=""),0,H28/(H28+H29))</f>
        <v>8.3232092478920355E-2</v>
      </c>
      <c r="J28" s="71"/>
      <c r="K28" s="23" t="s">
        <v>32</v>
      </c>
      <c r="L28" s="62">
        <f>IF(L7+L8+L15+L16+L23+L24&gt;K5,"something wrong",L7+L8+L15+L16+L23+L24)</f>
        <v>567210082</v>
      </c>
      <c r="M28" s="59">
        <f>IF(SUM(M7:M10)+SUM(M15:M18)+SUM(M23:M26)&gt;K5,"data error",SUM(M7:M10)+SUM(M15:M18)+SUM(M23:M26))</f>
        <v>567210082</v>
      </c>
      <c r="N28" s="31">
        <f>IF(B27="oops!!","data error",SUM(N7:N10)+SUM(N15:N18)+SUM(N23:N26))</f>
        <v>567210082</v>
      </c>
      <c r="O28" s="7"/>
    </row>
    <row r="29" spans="1:15" x14ac:dyDescent="0.25">
      <c r="B29" s="30"/>
      <c r="G29" s="46" t="s">
        <v>57</v>
      </c>
      <c r="H29" s="65">
        <f>L7+L15+L23</f>
        <v>520000000</v>
      </c>
      <c r="N29" s="64"/>
    </row>
  </sheetData>
  <mergeCells count="10">
    <mergeCell ref="K14:L14"/>
    <mergeCell ref="F21:G21"/>
    <mergeCell ref="K22:L22"/>
    <mergeCell ref="F4:G4"/>
    <mergeCell ref="K4:L4"/>
    <mergeCell ref="M4:N4"/>
    <mergeCell ref="K5:L5"/>
    <mergeCell ref="M5:N5"/>
    <mergeCell ref="K6:L6"/>
    <mergeCell ref="F13:G1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5017C-8028-456E-B5D8-641C926BF9CE}">
  <dimension ref="A2:O29"/>
  <sheetViews>
    <sheetView topLeftCell="A10" zoomScaleNormal="100" workbookViewId="0">
      <selection activeCell="I31" sqref="I31"/>
    </sheetView>
  </sheetViews>
  <sheetFormatPr defaultRowHeight="15" x14ac:dyDescent="0.25"/>
  <cols>
    <col min="1" max="2" width="12.7109375" customWidth="1"/>
    <col min="3" max="3" width="6.7109375" customWidth="1"/>
    <col min="4" max="5" width="10.7109375" customWidth="1"/>
    <col min="6" max="12" width="12.7109375" customWidth="1"/>
    <col min="13" max="14" width="14.7109375" customWidth="1"/>
    <col min="15" max="15" width="12.7109375" customWidth="1"/>
  </cols>
  <sheetData>
    <row r="2" spans="1:15" x14ac:dyDescent="0.25">
      <c r="E2" s="18"/>
      <c r="F2" s="18"/>
      <c r="G2" s="18" t="s">
        <v>7</v>
      </c>
      <c r="H2" s="18"/>
      <c r="I2" s="18"/>
      <c r="J2" s="18"/>
      <c r="K2" s="2"/>
      <c r="L2" s="2"/>
    </row>
    <row r="3" spans="1:15" x14ac:dyDescent="0.25">
      <c r="E3" s="18"/>
      <c r="F3" s="18"/>
      <c r="G3" s="18" t="s">
        <v>33</v>
      </c>
      <c r="H3" s="18"/>
      <c r="I3" s="18"/>
      <c r="J3" s="18"/>
      <c r="K3" s="2"/>
      <c r="L3" s="2"/>
    </row>
    <row r="4" spans="1:15" ht="15.75" customHeight="1" x14ac:dyDescent="0.25">
      <c r="A4" s="5" t="s">
        <v>11</v>
      </c>
      <c r="B4" s="5"/>
      <c r="C4" s="1"/>
      <c r="D4" s="5" t="s">
        <v>5</v>
      </c>
      <c r="E4" s="5" t="s">
        <v>21</v>
      </c>
      <c r="F4" s="78" t="s">
        <v>1</v>
      </c>
      <c r="G4" s="78"/>
      <c r="H4" s="5" t="s">
        <v>9</v>
      </c>
      <c r="I4" s="16" t="s">
        <v>16</v>
      </c>
      <c r="J4" s="16" t="s">
        <v>20</v>
      </c>
      <c r="K4" s="78" t="s">
        <v>18</v>
      </c>
      <c r="L4" s="78"/>
      <c r="M4" s="78" t="s">
        <v>3</v>
      </c>
      <c r="N4" s="78"/>
      <c r="O4" s="3"/>
    </row>
    <row r="5" spans="1:15" x14ac:dyDescent="0.25">
      <c r="A5" s="17">
        <f>K5/3</f>
        <v>260000000</v>
      </c>
      <c r="B5" s="17"/>
      <c r="D5" s="5" t="s">
        <v>6</v>
      </c>
      <c r="E5" s="5" t="s">
        <v>6</v>
      </c>
      <c r="F5" s="5" t="s">
        <v>2</v>
      </c>
      <c r="G5" s="5" t="s">
        <v>0</v>
      </c>
      <c r="H5" s="5" t="s">
        <v>10</v>
      </c>
      <c r="I5" s="16" t="s">
        <v>5</v>
      </c>
      <c r="J5" s="16" t="s">
        <v>19</v>
      </c>
      <c r="K5" s="79">
        <v>780000000</v>
      </c>
      <c r="L5" s="79"/>
      <c r="M5" s="78" t="s">
        <v>4</v>
      </c>
      <c r="N5" s="78"/>
      <c r="O5" s="3"/>
    </row>
    <row r="6" spans="1:15" x14ac:dyDescent="0.25">
      <c r="A6" s="5"/>
      <c r="B6" s="5" t="s">
        <v>15</v>
      </c>
      <c r="C6" s="5" t="s">
        <v>14</v>
      </c>
      <c r="D6" s="5" t="s">
        <v>31</v>
      </c>
      <c r="E6" s="5" t="s">
        <v>22</v>
      </c>
      <c r="F6" s="6">
        <v>0.03</v>
      </c>
      <c r="G6" s="6"/>
      <c r="H6" s="6">
        <f>F6</f>
        <v>0.03</v>
      </c>
      <c r="I6" s="16" t="s">
        <v>17</v>
      </c>
      <c r="J6" s="16" t="s">
        <v>36</v>
      </c>
      <c r="K6" s="77" t="s">
        <v>23</v>
      </c>
      <c r="L6" s="77"/>
      <c r="M6" s="5" t="s">
        <v>29</v>
      </c>
      <c r="N6" s="8" t="s">
        <v>56</v>
      </c>
    </row>
    <row r="7" spans="1:15" x14ac:dyDescent="0.25">
      <c r="A7" s="16" t="s">
        <v>30</v>
      </c>
      <c r="B7" s="17">
        <f>A5</f>
        <v>260000000</v>
      </c>
      <c r="C7" s="5">
        <v>1</v>
      </c>
      <c r="D7" s="29">
        <v>100000000</v>
      </c>
      <c r="E7" s="10">
        <f>D7</f>
        <v>100000000</v>
      </c>
      <c r="F7" s="10">
        <f>INT(E7*$F$6)</f>
        <v>3000000</v>
      </c>
      <c r="G7" s="10">
        <f>SUM($F$7:F7)</f>
        <v>3000000</v>
      </c>
      <c r="H7" s="10">
        <v>0</v>
      </c>
      <c r="I7" s="10">
        <f t="shared" ref="I7:I10" si="0">E7+G7+H7</f>
        <v>103000000</v>
      </c>
      <c r="J7" s="10">
        <f>$K$5-I7</f>
        <v>677000000</v>
      </c>
      <c r="K7" s="21" t="s">
        <v>27</v>
      </c>
      <c r="L7" s="19">
        <f>SUM(D7:D10)</f>
        <v>260000000</v>
      </c>
      <c r="M7" s="10">
        <f>D7+G7</f>
        <v>103000000</v>
      </c>
      <c r="N7" s="7">
        <f t="shared" ref="N7:N10" si="1">D7*(1+$H$6)^(4-C7+1)</f>
        <v>112550880.99999999</v>
      </c>
    </row>
    <row r="8" spans="1:15" x14ac:dyDescent="0.25">
      <c r="A8" s="17"/>
      <c r="B8" s="17">
        <f>(B7-D7)</f>
        <v>160000000</v>
      </c>
      <c r="C8" s="5">
        <f>1+C7</f>
        <v>2</v>
      </c>
      <c r="D8" s="29">
        <v>80000000</v>
      </c>
      <c r="E8" s="10">
        <f>D8+E7</f>
        <v>180000000</v>
      </c>
      <c r="F8" s="10">
        <f t="shared" ref="F8:F18" si="2">INT(E8*$F$6)</f>
        <v>5400000</v>
      </c>
      <c r="G8" s="10">
        <f>SUM($F$7:F8)</f>
        <v>8400000</v>
      </c>
      <c r="H8" s="10">
        <f>INT($H$6*SUM($G$7:G7))</f>
        <v>90000</v>
      </c>
      <c r="I8" s="10">
        <f t="shared" si="0"/>
        <v>188490000</v>
      </c>
      <c r="J8" s="10">
        <f>$K$5-I8</f>
        <v>591510000</v>
      </c>
      <c r="K8" s="21" t="s">
        <v>28</v>
      </c>
      <c r="L8" s="19">
        <f>SUM(F7:F10)+H10</f>
        <v>23605041</v>
      </c>
      <c r="M8" s="10">
        <f>D8+F8+H8-H7</f>
        <v>85490000</v>
      </c>
      <c r="N8" s="7">
        <f t="shared" si="1"/>
        <v>87418160</v>
      </c>
    </row>
    <row r="9" spans="1:15" x14ac:dyDescent="0.25">
      <c r="A9" s="17"/>
      <c r="B9" s="17">
        <f t="shared" ref="B9:B10" si="3">(B8-D8)</f>
        <v>80000000</v>
      </c>
      <c r="C9" s="5">
        <f t="shared" ref="C9:C18" si="4">1+C8</f>
        <v>3</v>
      </c>
      <c r="D9" s="29">
        <v>40000000</v>
      </c>
      <c r="E9" s="10">
        <f t="shared" ref="E9:E18" si="5">D9+E8</f>
        <v>220000000</v>
      </c>
      <c r="F9" s="10">
        <f t="shared" si="2"/>
        <v>6600000</v>
      </c>
      <c r="G9" s="10">
        <f>SUM($F$7:F9)</f>
        <v>15000000</v>
      </c>
      <c r="H9" s="10">
        <f>INT($H$6*SUM($G$7:G8)+$H$6*SUM($H$7:H8))</f>
        <v>344700</v>
      </c>
      <c r="I9" s="10">
        <f t="shared" si="0"/>
        <v>235344700</v>
      </c>
      <c r="J9" s="10">
        <f>$K$5-I9</f>
        <v>544655300</v>
      </c>
      <c r="K9" s="25" t="s">
        <v>20</v>
      </c>
      <c r="L9" s="24">
        <f>L7+L8</f>
        <v>283605041</v>
      </c>
      <c r="M9" s="10">
        <f>D9+F9+H9-H8</f>
        <v>46854700</v>
      </c>
      <c r="N9" s="7">
        <f t="shared" si="1"/>
        <v>42436000</v>
      </c>
    </row>
    <row r="10" spans="1:15" x14ac:dyDescent="0.25">
      <c r="A10" s="17"/>
      <c r="B10" s="17">
        <f t="shared" si="3"/>
        <v>40000000</v>
      </c>
      <c r="C10" s="5">
        <f t="shared" si="4"/>
        <v>4</v>
      </c>
      <c r="D10" s="29">
        <v>40000000</v>
      </c>
      <c r="E10" s="13">
        <f t="shared" si="5"/>
        <v>260000000</v>
      </c>
      <c r="F10" s="13">
        <f>INT(E10*$F$6)</f>
        <v>7800000</v>
      </c>
      <c r="G10" s="13">
        <f>SUM($F$7:F10)</f>
        <v>22800000</v>
      </c>
      <c r="H10" s="13">
        <f>INT($H$6*SUM($G$7:G9)+$H$6*SUM($H$7:H9))</f>
        <v>805041</v>
      </c>
      <c r="I10" s="13">
        <f t="shared" si="0"/>
        <v>283605041</v>
      </c>
      <c r="J10" s="13">
        <f>$K$5-I10</f>
        <v>496394959</v>
      </c>
      <c r="K10" s="22" t="s">
        <v>26</v>
      </c>
      <c r="L10" s="20">
        <f>K5-L7-L8</f>
        <v>496394959</v>
      </c>
      <c r="M10" s="13">
        <f>D10+F10+H10-H9</f>
        <v>48260341</v>
      </c>
      <c r="N10" s="7">
        <f t="shared" si="1"/>
        <v>41200000</v>
      </c>
    </row>
    <row r="11" spans="1:15" x14ac:dyDescent="0.25">
      <c r="A11" s="3"/>
      <c r="B11" s="17"/>
      <c r="C11" s="5"/>
      <c r="D11" s="14">
        <f>SUM(D7:D10)</f>
        <v>260000000</v>
      </c>
      <c r="E11" s="15"/>
      <c r="F11" s="15"/>
      <c r="G11" s="15"/>
      <c r="H11" s="15"/>
      <c r="I11" s="15">
        <f>I10</f>
        <v>283605041</v>
      </c>
      <c r="J11" s="15"/>
      <c r="K11" s="15"/>
      <c r="L11" s="15"/>
      <c r="M11" s="13">
        <f>SUM(M7:M10)</f>
        <v>283605041</v>
      </c>
      <c r="N11" s="7">
        <f>SUM(N7:N10)</f>
        <v>283605041</v>
      </c>
    </row>
    <row r="12" spans="1:15" x14ac:dyDescent="0.25">
      <c r="A12" s="5" t="s">
        <v>12</v>
      </c>
      <c r="B12" s="5"/>
      <c r="C12" s="5"/>
      <c r="D12" s="26"/>
      <c r="E12" s="27"/>
      <c r="F12" s="27"/>
      <c r="G12" s="27"/>
      <c r="H12" s="27"/>
      <c r="I12" s="27"/>
      <c r="J12" s="27"/>
      <c r="K12" s="27"/>
      <c r="L12" s="27"/>
      <c r="M12" s="13"/>
      <c r="N12" s="7"/>
    </row>
    <row r="13" spans="1:15" x14ac:dyDescent="0.25">
      <c r="A13" s="17">
        <f>K5/3</f>
        <v>260000000</v>
      </c>
      <c r="B13" s="17"/>
      <c r="C13" s="5"/>
      <c r="D13" s="5" t="s">
        <v>5</v>
      </c>
      <c r="E13" s="36" t="s">
        <v>21</v>
      </c>
      <c r="F13" s="78" t="s">
        <v>1</v>
      </c>
      <c r="G13" s="78"/>
      <c r="H13" s="5" t="s">
        <v>9</v>
      </c>
      <c r="I13" s="33" t="s">
        <v>16</v>
      </c>
      <c r="J13" s="33" t="s">
        <v>16</v>
      </c>
      <c r="K13" s="27"/>
      <c r="L13" s="27"/>
      <c r="M13" s="13"/>
      <c r="N13" s="7"/>
    </row>
    <row r="14" spans="1:15" x14ac:dyDescent="0.25">
      <c r="A14" s="3"/>
      <c r="B14" s="5" t="s">
        <v>15</v>
      </c>
      <c r="C14" s="5" t="s">
        <v>14</v>
      </c>
      <c r="D14" s="5" t="s">
        <v>6</v>
      </c>
      <c r="E14" s="37" t="s">
        <v>35</v>
      </c>
      <c r="F14" s="5" t="s">
        <v>2</v>
      </c>
      <c r="G14" s="5" t="s">
        <v>0</v>
      </c>
      <c r="H14" s="5" t="s">
        <v>10</v>
      </c>
      <c r="I14" s="34" t="s">
        <v>17</v>
      </c>
      <c r="J14" s="34" t="s">
        <v>19</v>
      </c>
      <c r="K14" s="77" t="s">
        <v>24</v>
      </c>
      <c r="L14" s="77"/>
      <c r="M14" s="5" t="s">
        <v>29</v>
      </c>
      <c r="N14" s="8" t="s">
        <v>56</v>
      </c>
    </row>
    <row r="15" spans="1:15" x14ac:dyDescent="0.25">
      <c r="A15" s="16" t="s">
        <v>30</v>
      </c>
      <c r="B15" s="17">
        <f>B7-L7+A13</f>
        <v>260000000</v>
      </c>
      <c r="C15" s="5">
        <f>1+C10</f>
        <v>5</v>
      </c>
      <c r="D15" s="29">
        <v>100000000</v>
      </c>
      <c r="E15" s="10">
        <f>D15</f>
        <v>100000000</v>
      </c>
      <c r="F15" s="10">
        <f>INT(E15*$F$6)</f>
        <v>3000000</v>
      </c>
      <c r="G15" s="10">
        <f>SUM($F$15:F15)</f>
        <v>3000000</v>
      </c>
      <c r="H15" s="10">
        <v>0</v>
      </c>
      <c r="I15" s="10">
        <f>IF(E15+G15+H15=0,0,E15+G15+H15+$I$10)</f>
        <v>386605041</v>
      </c>
      <c r="J15" s="10">
        <f>$K$5-I15</f>
        <v>393394959</v>
      </c>
      <c r="K15" s="21" t="s">
        <v>27</v>
      </c>
      <c r="L15" s="19">
        <f>SUM(D15:D18)</f>
        <v>220000000</v>
      </c>
      <c r="M15" s="10">
        <f>D15+F15</f>
        <v>103000000</v>
      </c>
      <c r="N15" s="7">
        <f>D15*(1+$H$6)^(8-C15+1)</f>
        <v>112550880.99999999</v>
      </c>
    </row>
    <row r="16" spans="1:15" x14ac:dyDescent="0.25">
      <c r="A16" s="3"/>
      <c r="B16" s="17">
        <f>(B15-D15)</f>
        <v>160000000</v>
      </c>
      <c r="C16" s="5">
        <f t="shared" si="4"/>
        <v>6</v>
      </c>
      <c r="D16" s="29">
        <v>80000000</v>
      </c>
      <c r="E16" s="10">
        <f t="shared" si="5"/>
        <v>180000000</v>
      </c>
      <c r="F16" s="10">
        <f t="shared" si="2"/>
        <v>5400000</v>
      </c>
      <c r="G16" s="10">
        <f>SUM($F$15:F16)</f>
        <v>8400000</v>
      </c>
      <c r="H16" s="10">
        <f>INT($H$6*SUM($G$15:G15))</f>
        <v>90000</v>
      </c>
      <c r="I16" s="10">
        <f t="shared" ref="I16:I17" si="6">IF(E16+G16+H16=0,0,E16+G16+H16+$I$10)</f>
        <v>472095041</v>
      </c>
      <c r="J16" s="10">
        <f>$K$5-I16</f>
        <v>307904959</v>
      </c>
      <c r="K16" s="21" t="s">
        <v>28</v>
      </c>
      <c r="L16" s="19">
        <f>SUM(F15:F18)+H18</f>
        <v>22405041</v>
      </c>
      <c r="M16" s="10">
        <f>D16+F16+H16-H15</f>
        <v>85490000</v>
      </c>
      <c r="N16" s="7">
        <f t="shared" ref="N16:N18" si="7">D16*(1+$H$6)^(8-C16+1)</f>
        <v>87418160</v>
      </c>
    </row>
    <row r="17" spans="1:15" x14ac:dyDescent="0.25">
      <c r="A17" s="3"/>
      <c r="B17" s="17">
        <f t="shared" ref="B17:B18" si="8">(B16-D16)</f>
        <v>80000000</v>
      </c>
      <c r="C17" s="5">
        <f t="shared" si="4"/>
        <v>7</v>
      </c>
      <c r="D17" s="29">
        <v>40000000</v>
      </c>
      <c r="E17" s="10">
        <f t="shared" si="5"/>
        <v>220000000</v>
      </c>
      <c r="F17" s="10">
        <f t="shared" si="2"/>
        <v>6600000</v>
      </c>
      <c r="G17" s="10">
        <f>SUM($F$15:F17)</f>
        <v>15000000</v>
      </c>
      <c r="H17" s="10">
        <f>INT($H$6*SUM($G$15:G16)+$H$6*SUM($H$15:H16))</f>
        <v>344700</v>
      </c>
      <c r="I17" s="10">
        <f t="shared" si="6"/>
        <v>518949741</v>
      </c>
      <c r="J17" s="10">
        <f>$K$5-I17</f>
        <v>261050259</v>
      </c>
      <c r="K17" s="25" t="s">
        <v>20</v>
      </c>
      <c r="L17" s="24">
        <f>L15+L16</f>
        <v>242405041</v>
      </c>
      <c r="M17" s="10">
        <f>D17+F17+H17-H16</f>
        <v>46854700</v>
      </c>
      <c r="N17" s="7">
        <f t="shared" si="7"/>
        <v>42436000</v>
      </c>
    </row>
    <row r="18" spans="1:15" x14ac:dyDescent="0.25">
      <c r="A18" s="3"/>
      <c r="B18" s="17">
        <f t="shared" si="8"/>
        <v>40000000</v>
      </c>
      <c r="C18" s="5">
        <f t="shared" si="4"/>
        <v>8</v>
      </c>
      <c r="D18" s="29">
        <v>0</v>
      </c>
      <c r="E18" s="13">
        <f t="shared" si="5"/>
        <v>220000000</v>
      </c>
      <c r="F18" s="13">
        <f t="shared" si="2"/>
        <v>6600000</v>
      </c>
      <c r="G18" s="13">
        <f>SUM($F$15:F18)</f>
        <v>21600000</v>
      </c>
      <c r="H18" s="13">
        <f>INT($H$6*SUM($G$15:G17)+$H$6*SUM($H$15:H17))</f>
        <v>805041</v>
      </c>
      <c r="I18" s="13">
        <f t="shared" ref="I18" si="9">E18+G18+H18+$I$10</f>
        <v>526010082</v>
      </c>
      <c r="J18" s="13">
        <f>$K$5-I18</f>
        <v>253989918</v>
      </c>
      <c r="K18" s="22" t="s">
        <v>26</v>
      </c>
      <c r="L18" s="20">
        <f>IF(L10-L15-L16&lt;=0,0, L10-L15-L16)</f>
        <v>253989918</v>
      </c>
      <c r="M18" s="13">
        <f>D18+F18+H18-H17</f>
        <v>7060341</v>
      </c>
      <c r="N18" s="7">
        <f t="shared" si="7"/>
        <v>0</v>
      </c>
    </row>
    <row r="19" spans="1:15" x14ac:dyDescent="0.25">
      <c r="A19" s="3"/>
      <c r="B19" s="5"/>
      <c r="C19" s="5"/>
      <c r="D19" s="14">
        <f>SUM(D15:D18)</f>
        <v>220000000</v>
      </c>
      <c r="E19" s="15"/>
      <c r="F19" s="15"/>
      <c r="G19" s="15"/>
      <c r="H19" s="15"/>
      <c r="I19" s="15">
        <f>I18</f>
        <v>526010082</v>
      </c>
      <c r="J19" s="15"/>
      <c r="K19" s="15"/>
      <c r="L19" s="15"/>
      <c r="M19" s="13">
        <f>SUM(M15:M18)</f>
        <v>242405041</v>
      </c>
      <c r="N19" s="7">
        <f>SUM(N15:N18)</f>
        <v>242405041</v>
      </c>
    </row>
    <row r="20" spans="1:15" x14ac:dyDescent="0.25">
      <c r="A20" s="5" t="s">
        <v>13</v>
      </c>
      <c r="B20" s="5"/>
      <c r="C20" s="5"/>
      <c r="D20" s="26"/>
      <c r="E20" s="27"/>
      <c r="F20" s="27"/>
      <c r="G20" s="27"/>
      <c r="H20" s="27"/>
      <c r="I20" s="27"/>
      <c r="J20" s="27"/>
      <c r="K20" s="27"/>
      <c r="L20" s="27"/>
      <c r="M20" s="13"/>
      <c r="N20" s="7"/>
    </row>
    <row r="21" spans="1:15" x14ac:dyDescent="0.25">
      <c r="A21" s="17">
        <f>INT(L18)</f>
        <v>253989918</v>
      </c>
      <c r="B21" s="17"/>
      <c r="C21" s="5"/>
      <c r="D21" s="5" t="s">
        <v>5</v>
      </c>
      <c r="E21" s="36" t="s">
        <v>21</v>
      </c>
      <c r="F21" s="78" t="s">
        <v>1</v>
      </c>
      <c r="G21" s="78"/>
      <c r="H21" s="5" t="s">
        <v>9</v>
      </c>
      <c r="I21" s="33" t="s">
        <v>16</v>
      </c>
      <c r="J21" s="33" t="s">
        <v>16</v>
      </c>
      <c r="K21" s="27"/>
      <c r="L21" s="27"/>
      <c r="M21" s="13"/>
      <c r="N21" s="7"/>
    </row>
    <row r="22" spans="1:15" x14ac:dyDescent="0.25">
      <c r="A22" s="16" t="s">
        <v>34</v>
      </c>
      <c r="B22" s="5" t="s">
        <v>15</v>
      </c>
      <c r="C22" s="5" t="s">
        <v>14</v>
      </c>
      <c r="D22" s="5" t="s">
        <v>6</v>
      </c>
      <c r="E22" s="37" t="s">
        <v>35</v>
      </c>
      <c r="F22" s="5" t="s">
        <v>2</v>
      </c>
      <c r="G22" s="5" t="s">
        <v>0</v>
      </c>
      <c r="H22" s="5" t="s">
        <v>10</v>
      </c>
      <c r="I22" s="34" t="s">
        <v>17</v>
      </c>
      <c r="J22" s="34" t="s">
        <v>19</v>
      </c>
      <c r="K22" s="77" t="s">
        <v>25</v>
      </c>
      <c r="L22" s="77"/>
      <c r="M22" s="5" t="s">
        <v>29</v>
      </c>
      <c r="N22" s="8" t="s">
        <v>56</v>
      </c>
    </row>
    <row r="23" spans="1:15" x14ac:dyDescent="0.25">
      <c r="A23" s="28">
        <f>A21</f>
        <v>253989918</v>
      </c>
      <c r="B23" s="17">
        <f>IF(A23&lt;=0,0,INT(A23/(1+$F$6)^4))</f>
        <v>225666752</v>
      </c>
      <c r="C23" s="5">
        <f>1+C18</f>
        <v>9</v>
      </c>
      <c r="D23" s="29">
        <v>100000000</v>
      </c>
      <c r="E23" s="10">
        <f>IF(D23&gt;B23,0,D23)</f>
        <v>100000000</v>
      </c>
      <c r="F23" s="10">
        <f>IF(E23="not available",0,INT(E23*$F$6))</f>
        <v>3000000</v>
      </c>
      <c r="G23" s="10">
        <f>SUM($F$23:F23)</f>
        <v>3000000</v>
      </c>
      <c r="H23" s="10">
        <v>0</v>
      </c>
      <c r="I23" s="26">
        <f>IF(E23="not available",0,INT(D23*(1+$F$6)^4)+$I$18)</f>
        <v>638560963</v>
      </c>
      <c r="J23" s="10">
        <f>IF(B23=0,0,A23-D23*(1+$F$6)^4)</f>
        <v>141439037</v>
      </c>
      <c r="K23" s="21" t="s">
        <v>27</v>
      </c>
      <c r="L23" s="19">
        <f>IF(E23="not available",0,SUM(D23:D26))</f>
        <v>230319857</v>
      </c>
      <c r="M23" s="10">
        <f>IF(E23="not available",0,D23+F23+H23)</f>
        <v>103000000</v>
      </c>
      <c r="N23" s="7">
        <f>D23*(1+$H$6)^(12-C23+1)</f>
        <v>112550880.99999999</v>
      </c>
    </row>
    <row r="24" spans="1:15" x14ac:dyDescent="0.25">
      <c r="A24" s="22">
        <f>IF(D23&gt;B23,"oops!!",INT(J23))</f>
        <v>141439037</v>
      </c>
      <c r="B24" s="17">
        <f>IF(B23=0,0,IF(INT(A23-N23)&lt;=0,0,INT($A$24/(1+$F$6)^3)))</f>
        <v>129436755</v>
      </c>
      <c r="C24" s="5">
        <f t="shared" ref="C24:C26" si="10">1+C23</f>
        <v>10</v>
      </c>
      <c r="D24" s="29">
        <v>100000000</v>
      </c>
      <c r="E24" s="10">
        <f>IF(E23="not available",E23,IF(D24&gt;B24,0,D24+E23))</f>
        <v>200000000</v>
      </c>
      <c r="F24" s="10">
        <f>IF(OR(D24&gt;B24,F23=0),0,INT(E24*$F$6))</f>
        <v>6000000</v>
      </c>
      <c r="G24" s="10">
        <f>SUM($F$23:F24)</f>
        <v>9000000</v>
      </c>
      <c r="H24" s="10">
        <f>INT($H$6*SUM($G$23:G23))</f>
        <v>90000</v>
      </c>
      <c r="I24" s="26">
        <f>IF(E24="not available",0,INT(D24*(1+$F$6)^3)+$I$23)</f>
        <v>747833663</v>
      </c>
      <c r="J24" s="10">
        <f>IF(B24=0,J23,A24-D24*(1+$F$6)^3)</f>
        <v>32166337</v>
      </c>
      <c r="K24" s="21" t="s">
        <v>28</v>
      </c>
      <c r="L24" s="19">
        <f>SUM(F23:F26)+H26</f>
        <v>23670058</v>
      </c>
      <c r="M24" s="10">
        <f>D24+F24+H24-H23</f>
        <v>106090000</v>
      </c>
      <c r="N24" s="7">
        <f>D24*(1+$H$6)^(12-C24+1)</f>
        <v>109272700</v>
      </c>
    </row>
    <row r="25" spans="1:15" x14ac:dyDescent="0.25">
      <c r="A25" s="11">
        <f>IF(A24="oops!!","oops!!",IF(D24&gt;B24,"oops!!",INT(J24)))</f>
        <v>32166337</v>
      </c>
      <c r="B25" s="17">
        <f>IF(B24=0,0,IF(INT(A24-N24)&lt;=0,0,INT($A$25/(1+$F$6)^2)))</f>
        <v>30319857</v>
      </c>
      <c r="C25" s="5">
        <f t="shared" si="10"/>
        <v>11</v>
      </c>
      <c r="D25" s="29">
        <v>30319857</v>
      </c>
      <c r="E25" s="10">
        <f>IF(E24="not available",E24,IF(D25&gt;B25,0,D25+E24))</f>
        <v>230319857</v>
      </c>
      <c r="F25" s="10">
        <f>IF(OR(D25&gt;B25,F24=0),0,INT(E25*$F$6))</f>
        <v>6909595</v>
      </c>
      <c r="G25" s="10">
        <f>SUM($F$23:F25)</f>
        <v>15909595</v>
      </c>
      <c r="H25" s="10">
        <f>INT($H$6*SUM($G$23:G24)+$H$6*SUM($H$23:H24))</f>
        <v>362700</v>
      </c>
      <c r="I25" s="26">
        <f>IF(E25="not available",0,INT(D25*(1+$F$6)^2)+$I$24)</f>
        <v>779999999</v>
      </c>
      <c r="J25" s="10">
        <f>IF(B25=0,J24,A25-D25*(1+$F$6)^2)</f>
        <v>0.70870000123977661</v>
      </c>
      <c r="K25" s="25" t="s">
        <v>20</v>
      </c>
      <c r="L25" s="24">
        <f>L23+L24</f>
        <v>253989915</v>
      </c>
      <c r="M25" s="10">
        <f>D25+F25+H25-H24</f>
        <v>37502152</v>
      </c>
      <c r="N25" s="7">
        <f>D25*(1+$H$6)^(12-C25+1)</f>
        <v>32166336.291299999</v>
      </c>
    </row>
    <row r="26" spans="1:15" x14ac:dyDescent="0.25">
      <c r="A26" s="11">
        <f>IF(A25="oops!!","oops!!",IF(D25&gt;B25,"oops!!",INT(J25)))</f>
        <v>0</v>
      </c>
      <c r="B26" s="17">
        <f>IF(B25=0,0,IF(INT(A25-N25)&lt;=0,0,INT($A$26/(1+$F$6)^1)))</f>
        <v>0</v>
      </c>
      <c r="C26" s="5">
        <f t="shared" si="10"/>
        <v>12</v>
      </c>
      <c r="D26" s="29">
        <v>0</v>
      </c>
      <c r="E26" s="10">
        <f>IF(E25="not available",E25,IF(D26&gt;B26,0,D26+E25))</f>
        <v>230319857</v>
      </c>
      <c r="F26" s="10">
        <f>IF(OR(D26&gt;B26,F25=0),0,INT(E26*$F$6))</f>
        <v>6909595</v>
      </c>
      <c r="G26" s="10">
        <f>SUM($F$23:F26)</f>
        <v>22819190</v>
      </c>
      <c r="H26" s="10">
        <f>INT($H$6*SUM($G$23:G25)+$H$6*SUM($H$23:H25))</f>
        <v>850868</v>
      </c>
      <c r="I26" s="26">
        <f>IF(E26="not available",0,INT(D26*(1+$F$6)^1)+$I$25)</f>
        <v>779999999</v>
      </c>
      <c r="J26" s="10">
        <f>IF(B26=0,J25,A26-D26*(1+$F$6)^1)</f>
        <v>0.70870000123977661</v>
      </c>
      <c r="K26" s="22" t="s">
        <v>26</v>
      </c>
      <c r="L26" s="60">
        <f>IF(E23="not available",0,IF(L18-L23-L24&lt;0,"oops!!",L18-L23-L24))</f>
        <v>3</v>
      </c>
      <c r="M26" s="10">
        <f>D26+F26+H26-H25</f>
        <v>7397763</v>
      </c>
      <c r="N26" s="7">
        <f>D26*(1+$H$6)^(12-C26+1)</f>
        <v>0</v>
      </c>
    </row>
    <row r="27" spans="1:15" x14ac:dyDescent="0.25">
      <c r="A27" s="25" t="s">
        <v>55</v>
      </c>
      <c r="B27" s="58">
        <f>IF(L26&lt;0,"something wrong",L26)</f>
        <v>3</v>
      </c>
      <c r="C27" s="3"/>
      <c r="D27" s="72">
        <f>SUM(D23:D26)</f>
        <v>230319857</v>
      </c>
      <c r="E27" s="66">
        <f>E26</f>
        <v>230319857</v>
      </c>
      <c r="F27" s="66">
        <f>IF(OR(E27="not available",B27="something wrong"),0,SUM(F7:F26))</f>
        <v>67219190</v>
      </c>
      <c r="G27" s="67">
        <f>G26</f>
        <v>22819190</v>
      </c>
      <c r="H27" s="66">
        <f>INT($H$6*SUM($G$23:G26)+$H$6*SUM($H$23:H26))</f>
        <v>1560970</v>
      </c>
      <c r="I27" s="67">
        <f>I26</f>
        <v>779999999</v>
      </c>
      <c r="J27" s="67">
        <f>J26</f>
        <v>0.70870000123977661</v>
      </c>
      <c r="K27" s="11"/>
      <c r="L27" s="61">
        <f>L18-L23-L24</f>
        <v>3</v>
      </c>
      <c r="M27" s="13">
        <f>SUM(M23:M26)</f>
        <v>253989915</v>
      </c>
      <c r="N27" s="7">
        <f>SUM(N23:N26)</f>
        <v>253989917.2913</v>
      </c>
    </row>
    <row r="28" spans="1:15" x14ac:dyDescent="0.25">
      <c r="D28" s="21">
        <f>D11+D19+D27</f>
        <v>710319857</v>
      </c>
      <c r="E28" s="4"/>
      <c r="F28" s="4"/>
      <c r="G28" s="69" t="s">
        <v>8</v>
      </c>
      <c r="H28" s="70">
        <f>IF(A21&gt;=K5,0,IF(OR(E27="not available",B27="something wrong",B27="oops!!"),L8+L16+L24,I27-D28))</f>
        <v>69680142</v>
      </c>
      <c r="I28" s="56">
        <f>IF(OR(D28=0,D28=""),0,H28/(H28+H29))</f>
        <v>8.9333515499145533E-2</v>
      </c>
      <c r="J28" s="71"/>
      <c r="K28" s="23" t="s">
        <v>32</v>
      </c>
      <c r="L28" s="62">
        <f>IF(L7+L8+L15+L16+L23+L24&gt;K5,"something wrong",L7+L8+L15+L16+L23+L24)</f>
        <v>779999997</v>
      </c>
      <c r="M28" s="59">
        <f>IF(SUM(M7:M10)+SUM(M15:M18)+SUM(M23:M26)&gt;K5,"data error",SUM(M7:M10)+SUM(M15:M18)+SUM(M23:M26))</f>
        <v>779999997</v>
      </c>
      <c r="N28" s="31">
        <f>IF(B27="oops!!","data error",SUM(N7:N10)+SUM(N15:N18)+SUM(N23:N26))</f>
        <v>779999999.29130006</v>
      </c>
      <c r="O28" s="7"/>
    </row>
    <row r="29" spans="1:15" x14ac:dyDescent="0.25">
      <c r="B29" s="30"/>
      <c r="G29" s="46" t="s">
        <v>57</v>
      </c>
      <c r="H29" s="65">
        <f>L7+L15+L23</f>
        <v>710319857</v>
      </c>
      <c r="N29" s="64"/>
    </row>
  </sheetData>
  <mergeCells count="10">
    <mergeCell ref="K14:L14"/>
    <mergeCell ref="F21:G21"/>
    <mergeCell ref="K22:L22"/>
    <mergeCell ref="F4:G4"/>
    <mergeCell ref="K4:L4"/>
    <mergeCell ref="M4:N4"/>
    <mergeCell ref="K5:L5"/>
    <mergeCell ref="M5:N5"/>
    <mergeCell ref="K6:L6"/>
    <mergeCell ref="F13:G1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45057-E14A-46CC-B87E-3E9818CEA584}">
  <dimension ref="A2:O32"/>
  <sheetViews>
    <sheetView topLeftCell="A11" zoomScaleNormal="100" workbookViewId="0">
      <selection activeCell="H33" sqref="H33"/>
    </sheetView>
  </sheetViews>
  <sheetFormatPr defaultRowHeight="15" x14ac:dyDescent="0.25"/>
  <cols>
    <col min="1" max="2" width="12.7109375" customWidth="1"/>
    <col min="3" max="3" width="6.7109375" customWidth="1"/>
    <col min="4" max="5" width="10.7109375" customWidth="1"/>
    <col min="6" max="12" width="12.7109375" customWidth="1"/>
    <col min="13" max="14" width="14.7109375" customWidth="1"/>
    <col min="15" max="15" width="12.7109375" customWidth="1"/>
  </cols>
  <sheetData>
    <row r="2" spans="1:15" x14ac:dyDescent="0.25">
      <c r="E2" s="18"/>
      <c r="F2" s="18"/>
      <c r="G2" s="18" t="s">
        <v>7</v>
      </c>
      <c r="H2" s="18"/>
      <c r="I2" s="18"/>
      <c r="J2" s="18"/>
      <c r="K2" s="2"/>
      <c r="L2" s="2"/>
    </row>
    <row r="3" spans="1:15" x14ac:dyDescent="0.25">
      <c r="E3" s="18"/>
      <c r="F3" s="18"/>
      <c r="G3" s="18" t="s">
        <v>33</v>
      </c>
      <c r="H3" s="18"/>
      <c r="I3" s="18"/>
      <c r="J3" s="18"/>
      <c r="K3" s="2"/>
      <c r="L3" s="2"/>
    </row>
    <row r="4" spans="1:15" ht="15.75" customHeight="1" x14ac:dyDescent="0.25">
      <c r="A4" s="5" t="s">
        <v>11</v>
      </c>
      <c r="B4" s="5"/>
      <c r="C4" s="1"/>
      <c r="D4" s="5" t="s">
        <v>5</v>
      </c>
      <c r="E4" s="5" t="s">
        <v>21</v>
      </c>
      <c r="F4" s="78" t="s">
        <v>1</v>
      </c>
      <c r="G4" s="78"/>
      <c r="H4" s="5" t="s">
        <v>9</v>
      </c>
      <c r="I4" s="16" t="s">
        <v>16</v>
      </c>
      <c r="J4" s="16" t="s">
        <v>20</v>
      </c>
      <c r="K4" s="78" t="s">
        <v>18</v>
      </c>
      <c r="L4" s="78"/>
      <c r="M4" s="78" t="s">
        <v>3</v>
      </c>
      <c r="N4" s="78"/>
      <c r="O4" s="3"/>
    </row>
    <row r="5" spans="1:15" x14ac:dyDescent="0.25">
      <c r="A5" s="17">
        <f>K5/3</f>
        <v>260000000</v>
      </c>
      <c r="B5" s="17"/>
      <c r="D5" s="5" t="s">
        <v>6</v>
      </c>
      <c r="E5" s="5" t="s">
        <v>6</v>
      </c>
      <c r="F5" s="5" t="s">
        <v>2</v>
      </c>
      <c r="G5" s="5" t="s">
        <v>0</v>
      </c>
      <c r="H5" s="5" t="s">
        <v>10</v>
      </c>
      <c r="I5" s="16" t="s">
        <v>5</v>
      </c>
      <c r="J5" s="16" t="s">
        <v>19</v>
      </c>
      <c r="K5" s="79">
        <v>780000000</v>
      </c>
      <c r="L5" s="79"/>
      <c r="M5" s="78" t="s">
        <v>4</v>
      </c>
      <c r="N5" s="78"/>
      <c r="O5" s="3"/>
    </row>
    <row r="6" spans="1:15" x14ac:dyDescent="0.25">
      <c r="A6" s="5"/>
      <c r="B6" s="5" t="s">
        <v>15</v>
      </c>
      <c r="C6" s="5" t="s">
        <v>14</v>
      </c>
      <c r="D6" s="5" t="s">
        <v>31</v>
      </c>
      <c r="E6" s="5" t="s">
        <v>22</v>
      </c>
      <c r="F6" s="6">
        <v>0.03</v>
      </c>
      <c r="G6" s="6"/>
      <c r="H6" s="6">
        <f>F6</f>
        <v>0.03</v>
      </c>
      <c r="I6" s="16" t="s">
        <v>17</v>
      </c>
      <c r="J6" s="16" t="s">
        <v>36</v>
      </c>
      <c r="K6" s="77" t="s">
        <v>23</v>
      </c>
      <c r="L6" s="77"/>
      <c r="M6" s="5" t="s">
        <v>29</v>
      </c>
      <c r="N6" s="8" t="s">
        <v>56</v>
      </c>
    </row>
    <row r="7" spans="1:15" x14ac:dyDescent="0.25">
      <c r="A7" s="16" t="s">
        <v>30</v>
      </c>
      <c r="B7" s="17">
        <f>A5</f>
        <v>260000000</v>
      </c>
      <c r="C7" s="5">
        <v>1</v>
      </c>
      <c r="D7" s="29">
        <v>100000000</v>
      </c>
      <c r="E7" s="10">
        <f>D7</f>
        <v>100000000</v>
      </c>
      <c r="F7" s="10">
        <f>INT(E7*$F$6)</f>
        <v>3000000</v>
      </c>
      <c r="G7" s="10">
        <f>SUM($F$7:F7)</f>
        <v>3000000</v>
      </c>
      <c r="H7" s="10">
        <v>0</v>
      </c>
      <c r="I7" s="10">
        <f t="shared" ref="I7:I10" si="0">E7+G7+H7</f>
        <v>103000000</v>
      </c>
      <c r="J7" s="10">
        <f>$K$5-I7</f>
        <v>677000000</v>
      </c>
      <c r="K7" s="21" t="s">
        <v>27</v>
      </c>
      <c r="L7" s="19">
        <f>IF(SUM(D7:D10)&gt;K5,0,SUM(D7:D10))</f>
        <v>260000000</v>
      </c>
      <c r="M7" s="10">
        <f>IF($D$11+G7&gt;$K$5,0,D7+G7)</f>
        <v>103000000</v>
      </c>
      <c r="N7" s="7">
        <f>IF(D11&gt;K5,0,D7*(1+$H$6)^(4-C7+1))</f>
        <v>112550880.99999999</v>
      </c>
    </row>
    <row r="8" spans="1:15" x14ac:dyDescent="0.25">
      <c r="A8" s="17"/>
      <c r="B8" s="17">
        <f>(B7-D7)</f>
        <v>160000000</v>
      </c>
      <c r="C8" s="5">
        <f>1+C7</f>
        <v>2</v>
      </c>
      <c r="D8" s="29">
        <v>80000000</v>
      </c>
      <c r="E8" s="10">
        <f>D8+E7</f>
        <v>180000000</v>
      </c>
      <c r="F8" s="10">
        <f t="shared" ref="F8:F18" si="1">INT(E8*$F$6)</f>
        <v>5400000</v>
      </c>
      <c r="G8" s="10">
        <f>SUM($F$7:F8)</f>
        <v>8400000</v>
      </c>
      <c r="H8" s="10">
        <f>INT($H$6*SUM($G$7:G7))</f>
        <v>90000</v>
      </c>
      <c r="I8" s="10">
        <f t="shared" si="0"/>
        <v>188490000</v>
      </c>
      <c r="J8" s="10">
        <f>$K$5-I8</f>
        <v>591510000</v>
      </c>
      <c r="K8" s="21" t="s">
        <v>28</v>
      </c>
      <c r="L8" s="19">
        <f>IF(L7=0,0,SUM(F7:F10)+H10)</f>
        <v>23605041</v>
      </c>
      <c r="M8" s="10">
        <f>D8+F8+H8-H7</f>
        <v>85490000</v>
      </c>
      <c r="N8" s="7">
        <f>IF(D11&gt;K5,0,D8*(1+$H$6)^(4-C8+1))</f>
        <v>87418160</v>
      </c>
    </row>
    <row r="9" spans="1:15" x14ac:dyDescent="0.25">
      <c r="A9" s="17"/>
      <c r="B9" s="17">
        <f t="shared" ref="B9:B10" si="2">(B8-D8)</f>
        <v>80000000</v>
      </c>
      <c r="C9" s="5">
        <f t="shared" ref="C9:C26" si="3">1+C8</f>
        <v>3</v>
      </c>
      <c r="D9" s="29">
        <v>40000000</v>
      </c>
      <c r="E9" s="10">
        <f t="shared" ref="E9:E18" si="4">D9+E8</f>
        <v>220000000</v>
      </c>
      <c r="F9" s="10">
        <f t="shared" si="1"/>
        <v>6600000</v>
      </c>
      <c r="G9" s="10">
        <f>SUM($F$7:F9)</f>
        <v>15000000</v>
      </c>
      <c r="H9" s="10">
        <f>INT($H$6*SUM($G$7:G8)+$H$6*SUM($H$7:H8))</f>
        <v>344700</v>
      </c>
      <c r="I9" s="10">
        <f t="shared" si="0"/>
        <v>235344700</v>
      </c>
      <c r="J9" s="10">
        <f>$K$5-I9</f>
        <v>544655300</v>
      </c>
      <c r="K9" s="25" t="s">
        <v>20</v>
      </c>
      <c r="L9" s="24">
        <f>L7+L8</f>
        <v>283605041</v>
      </c>
      <c r="M9" s="10">
        <f>D9+F9+H9-H8</f>
        <v>46854700</v>
      </c>
      <c r="N9" s="7">
        <f>IF(D11&gt;K5,0,D9*(1+$H$6)^(4-C9+1))</f>
        <v>42436000</v>
      </c>
    </row>
    <row r="10" spans="1:15" x14ac:dyDescent="0.25">
      <c r="A10" s="17"/>
      <c r="B10" s="17">
        <f t="shared" si="2"/>
        <v>40000000</v>
      </c>
      <c r="C10" s="5">
        <f t="shared" si="3"/>
        <v>4</v>
      </c>
      <c r="D10" s="29">
        <v>40000000</v>
      </c>
      <c r="E10" s="13">
        <f t="shared" si="4"/>
        <v>260000000</v>
      </c>
      <c r="F10" s="13">
        <f>INT(E10*$F$6)</f>
        <v>7800000</v>
      </c>
      <c r="G10" s="13">
        <f>SUM($F$7:F10)</f>
        <v>22800000</v>
      </c>
      <c r="H10" s="13">
        <f>INT($H$6*SUM($G$7:G9)+$H$6*SUM($H$7:H9))</f>
        <v>805041</v>
      </c>
      <c r="I10" s="13">
        <f t="shared" si="0"/>
        <v>283605041</v>
      </c>
      <c r="J10" s="13">
        <f>$K$5-I10</f>
        <v>496394959</v>
      </c>
      <c r="K10" s="22" t="s">
        <v>26</v>
      </c>
      <c r="L10" s="20">
        <f>K5-L7-L8</f>
        <v>496394959</v>
      </c>
      <c r="M10" s="13">
        <f>D10+F10+H10-H9</f>
        <v>48260341</v>
      </c>
      <c r="N10" s="7">
        <f>IF(D11&gt;K5,0,D10*(1+$H$6)^(4-C10+1))</f>
        <v>41200000</v>
      </c>
    </row>
    <row r="11" spans="1:15" x14ac:dyDescent="0.25">
      <c r="A11" s="3"/>
      <c r="B11" s="17"/>
      <c r="C11" s="5"/>
      <c r="D11" s="14">
        <f>SUM(D7:D10)</f>
        <v>260000000</v>
      </c>
      <c r="E11" s="15"/>
      <c r="F11" s="15"/>
      <c r="G11" s="15"/>
      <c r="H11" s="15"/>
      <c r="I11" s="15">
        <f>I10</f>
        <v>283605041</v>
      </c>
      <c r="J11" s="15"/>
      <c r="K11" s="15"/>
      <c r="L11" s="15"/>
      <c r="M11" s="13">
        <f>SUM(M7:M10)</f>
        <v>283605041</v>
      </c>
      <c r="N11" s="7">
        <f>SUM(N7:N10)</f>
        <v>283605041</v>
      </c>
    </row>
    <row r="12" spans="1:15" x14ac:dyDescent="0.25">
      <c r="A12" s="5" t="s">
        <v>12</v>
      </c>
      <c r="B12" s="5"/>
      <c r="C12" s="5"/>
      <c r="D12" s="26"/>
      <c r="E12" s="27"/>
      <c r="F12" s="27"/>
      <c r="G12" s="27"/>
      <c r="H12" s="27"/>
      <c r="I12" s="27"/>
      <c r="J12" s="27"/>
      <c r="K12" s="27"/>
      <c r="L12" s="27"/>
      <c r="M12" s="13"/>
      <c r="N12" s="7"/>
    </row>
    <row r="13" spans="1:15" x14ac:dyDescent="0.25">
      <c r="A13" s="17">
        <f>K5/3</f>
        <v>260000000</v>
      </c>
      <c r="B13" s="17"/>
      <c r="C13" s="5"/>
      <c r="D13" s="5" t="s">
        <v>5</v>
      </c>
      <c r="E13" s="36" t="s">
        <v>21</v>
      </c>
      <c r="F13" s="78" t="s">
        <v>1</v>
      </c>
      <c r="G13" s="78"/>
      <c r="H13" s="5" t="s">
        <v>9</v>
      </c>
      <c r="I13" s="33" t="s">
        <v>16</v>
      </c>
      <c r="J13" s="33" t="s">
        <v>16</v>
      </c>
      <c r="K13" s="27"/>
      <c r="L13" s="27"/>
      <c r="M13" s="13"/>
      <c r="N13" s="7"/>
    </row>
    <row r="14" spans="1:15" x14ac:dyDescent="0.25">
      <c r="A14" s="3"/>
      <c r="B14" s="5" t="s">
        <v>15</v>
      </c>
      <c r="C14" s="5" t="s">
        <v>14</v>
      </c>
      <c r="D14" s="5" t="s">
        <v>6</v>
      </c>
      <c r="E14" s="37" t="s">
        <v>35</v>
      </c>
      <c r="F14" s="5" t="s">
        <v>2</v>
      </c>
      <c r="G14" s="5" t="s">
        <v>0</v>
      </c>
      <c r="H14" s="5" t="s">
        <v>10</v>
      </c>
      <c r="I14" s="34" t="s">
        <v>17</v>
      </c>
      <c r="J14" s="34" t="s">
        <v>19</v>
      </c>
      <c r="K14" s="77" t="s">
        <v>24</v>
      </c>
      <c r="L14" s="77"/>
      <c r="M14" s="5" t="s">
        <v>29</v>
      </c>
      <c r="N14" s="8" t="s">
        <v>56</v>
      </c>
    </row>
    <row r="15" spans="1:15" x14ac:dyDescent="0.25">
      <c r="A15" s="16" t="s">
        <v>30</v>
      </c>
      <c r="B15" s="17">
        <f>B7-L7+A13</f>
        <v>260000000</v>
      </c>
      <c r="C15" s="5">
        <f>1+C10</f>
        <v>5</v>
      </c>
      <c r="D15" s="29">
        <v>100000000</v>
      </c>
      <c r="E15" s="10">
        <f>D15</f>
        <v>100000000</v>
      </c>
      <c r="F15" s="10">
        <f>INT(E15*$F$6)</f>
        <v>3000000</v>
      </c>
      <c r="G15" s="10">
        <f>SUM($F$15:F15)</f>
        <v>3000000</v>
      </c>
      <c r="H15" s="10">
        <v>0</v>
      </c>
      <c r="I15" s="10">
        <f>IF(E15+G15+H15=0,0,E15+G15+H15+$I$10)</f>
        <v>386605041</v>
      </c>
      <c r="J15" s="10">
        <f>$K$5-I15</f>
        <v>393394959</v>
      </c>
      <c r="K15" s="21" t="s">
        <v>27</v>
      </c>
      <c r="L15" s="19">
        <f>SUM(D15:D18)</f>
        <v>220000000</v>
      </c>
      <c r="M15" s="10">
        <f>D15+F15</f>
        <v>103000000</v>
      </c>
      <c r="N15" s="7">
        <f>D15*(1+$H$6)^(8-C15+1)</f>
        <v>112550880.99999999</v>
      </c>
    </row>
    <row r="16" spans="1:15" x14ac:dyDescent="0.25">
      <c r="A16" s="3"/>
      <c r="B16" s="17">
        <f>(B15-D15)</f>
        <v>160000000</v>
      </c>
      <c r="C16" s="5">
        <f t="shared" si="3"/>
        <v>6</v>
      </c>
      <c r="D16" s="29">
        <v>80000000</v>
      </c>
      <c r="E16" s="10">
        <f t="shared" si="4"/>
        <v>180000000</v>
      </c>
      <c r="F16" s="10">
        <f t="shared" si="1"/>
        <v>5400000</v>
      </c>
      <c r="G16" s="10">
        <f>SUM($F$15:F16)</f>
        <v>8400000</v>
      </c>
      <c r="H16" s="10">
        <f>INT($H$6*SUM($G$15:G15))</f>
        <v>90000</v>
      </c>
      <c r="I16" s="10">
        <f t="shared" ref="I16:I17" si="5">IF(E16+G16+H16=0,0,E16+G16+H16+$I$10)</f>
        <v>472095041</v>
      </c>
      <c r="J16" s="10">
        <f>$K$5-I16</f>
        <v>307904959</v>
      </c>
      <c r="K16" s="21" t="s">
        <v>28</v>
      </c>
      <c r="L16" s="19">
        <f>SUM(F15:F18)+H18</f>
        <v>22405041</v>
      </c>
      <c r="M16" s="10">
        <f>D16+F16+H16-H15</f>
        <v>85490000</v>
      </c>
      <c r="N16" s="7">
        <f t="shared" ref="N16:N18" si="6">D16*(1+$H$6)^(8-C16+1)</f>
        <v>87418160</v>
      </c>
    </row>
    <row r="17" spans="1:15" x14ac:dyDescent="0.25">
      <c r="A17" s="3"/>
      <c r="B17" s="17">
        <f t="shared" ref="B17:B18" si="7">(B16-D16)</f>
        <v>80000000</v>
      </c>
      <c r="C17" s="5">
        <f t="shared" si="3"/>
        <v>7</v>
      </c>
      <c r="D17" s="29">
        <v>40000000</v>
      </c>
      <c r="E17" s="10">
        <f t="shared" si="4"/>
        <v>220000000</v>
      </c>
      <c r="F17" s="10">
        <f t="shared" si="1"/>
        <v>6600000</v>
      </c>
      <c r="G17" s="10">
        <f>SUM($F$15:F17)</f>
        <v>15000000</v>
      </c>
      <c r="H17" s="10">
        <f>INT($H$6*SUM($G$15:G16)+$H$6*SUM($H$15:H16))</f>
        <v>344700</v>
      </c>
      <c r="I17" s="10">
        <f t="shared" si="5"/>
        <v>518949741</v>
      </c>
      <c r="J17" s="10">
        <f>$K$5-I17</f>
        <v>261050259</v>
      </c>
      <c r="K17" s="25" t="s">
        <v>20</v>
      </c>
      <c r="L17" s="24">
        <f>L15+L16</f>
        <v>242405041</v>
      </c>
      <c r="M17" s="10">
        <f>D17+F17+H17-H16</f>
        <v>46854700</v>
      </c>
      <c r="N17" s="7">
        <f t="shared" si="6"/>
        <v>42436000</v>
      </c>
    </row>
    <row r="18" spans="1:15" x14ac:dyDescent="0.25">
      <c r="A18" s="3"/>
      <c r="B18" s="17">
        <f t="shared" si="7"/>
        <v>40000000</v>
      </c>
      <c r="C18" s="5">
        <f t="shared" si="3"/>
        <v>8</v>
      </c>
      <c r="D18" s="29">
        <v>0</v>
      </c>
      <c r="E18" s="13">
        <f t="shared" si="4"/>
        <v>220000000</v>
      </c>
      <c r="F18" s="13">
        <f t="shared" si="1"/>
        <v>6600000</v>
      </c>
      <c r="G18" s="13">
        <f>SUM($F$15:F18)</f>
        <v>21600000</v>
      </c>
      <c r="H18" s="13">
        <f>INT($H$6*SUM($G$15:G17)+$H$6*SUM($H$15:H17))</f>
        <v>805041</v>
      </c>
      <c r="I18" s="13">
        <f t="shared" ref="I18" si="8">E18+G18+H18+$I$10</f>
        <v>526010082</v>
      </c>
      <c r="J18" s="13">
        <f>$K$5-I18</f>
        <v>253989918</v>
      </c>
      <c r="K18" s="22" t="s">
        <v>26</v>
      </c>
      <c r="L18" s="20">
        <f>IF(L10-L15-L16&lt;=0,0, L10-L15-L16)</f>
        <v>253989918</v>
      </c>
      <c r="M18" s="13">
        <f>D18+F18+H18-H17</f>
        <v>7060341</v>
      </c>
      <c r="N18" s="7">
        <f t="shared" si="6"/>
        <v>0</v>
      </c>
    </row>
    <row r="19" spans="1:15" x14ac:dyDescent="0.25">
      <c r="A19" s="3"/>
      <c r="B19" s="5"/>
      <c r="C19" s="5"/>
      <c r="D19" s="14">
        <f>SUM(D15:D18)</f>
        <v>220000000</v>
      </c>
      <c r="E19" s="15"/>
      <c r="F19" s="15"/>
      <c r="G19" s="15"/>
      <c r="H19" s="15"/>
      <c r="I19" s="15">
        <f>I18</f>
        <v>526010082</v>
      </c>
      <c r="J19" s="15"/>
      <c r="K19" s="15"/>
      <c r="L19" s="15"/>
      <c r="M19" s="13">
        <f>SUM(M15:M18)</f>
        <v>242405041</v>
      </c>
      <c r="N19" s="7">
        <f>SUM(N15:N18)</f>
        <v>242405041</v>
      </c>
    </row>
    <row r="20" spans="1:15" x14ac:dyDescent="0.25">
      <c r="A20" s="5" t="s">
        <v>13</v>
      </c>
      <c r="B20" s="5"/>
      <c r="C20" s="5"/>
      <c r="D20" s="26"/>
      <c r="E20" s="27"/>
      <c r="F20" s="27"/>
      <c r="G20" s="27"/>
      <c r="H20" s="27"/>
      <c r="I20" s="27"/>
      <c r="J20" s="27"/>
      <c r="K20" s="27"/>
      <c r="L20" s="27"/>
      <c r="M20" s="13"/>
      <c r="N20" s="7"/>
    </row>
    <row r="21" spans="1:15" x14ac:dyDescent="0.25">
      <c r="A21" s="17">
        <f>INT(L18)</f>
        <v>253989918</v>
      </c>
      <c r="B21" s="17"/>
      <c r="C21" s="5"/>
      <c r="D21" s="5" t="s">
        <v>5</v>
      </c>
      <c r="E21" s="36" t="s">
        <v>21</v>
      </c>
      <c r="F21" s="78" t="s">
        <v>1</v>
      </c>
      <c r="G21" s="78"/>
      <c r="H21" s="5" t="s">
        <v>9</v>
      </c>
      <c r="I21" s="33" t="s">
        <v>16</v>
      </c>
      <c r="J21" s="33" t="s">
        <v>16</v>
      </c>
      <c r="K21" s="27"/>
      <c r="L21" s="27"/>
      <c r="M21" s="13"/>
      <c r="N21" s="7"/>
    </row>
    <row r="22" spans="1:15" x14ac:dyDescent="0.25">
      <c r="A22" s="16" t="s">
        <v>34</v>
      </c>
      <c r="B22" s="5" t="s">
        <v>15</v>
      </c>
      <c r="C22" s="5" t="s">
        <v>14</v>
      </c>
      <c r="D22" s="5" t="s">
        <v>6</v>
      </c>
      <c r="E22" s="37" t="s">
        <v>35</v>
      </c>
      <c r="F22" s="5" t="s">
        <v>2</v>
      </c>
      <c r="G22" s="5" t="s">
        <v>0</v>
      </c>
      <c r="H22" s="5" t="s">
        <v>10</v>
      </c>
      <c r="I22" s="34" t="s">
        <v>17</v>
      </c>
      <c r="J22" s="34" t="s">
        <v>19</v>
      </c>
      <c r="K22" s="77" t="s">
        <v>25</v>
      </c>
      <c r="L22" s="77"/>
      <c r="M22" s="5" t="s">
        <v>29</v>
      </c>
      <c r="N22" s="8" t="s">
        <v>56</v>
      </c>
    </row>
    <row r="23" spans="1:15" x14ac:dyDescent="0.25">
      <c r="A23" s="28">
        <f>A21</f>
        <v>253989918</v>
      </c>
      <c r="B23" s="17">
        <f>IF(A23&lt;=0,0,INT(A23/(1+$F$6)^4))</f>
        <v>225666752</v>
      </c>
      <c r="C23" s="5">
        <f>1+C18</f>
        <v>9</v>
      </c>
      <c r="D23" s="29">
        <v>100000000</v>
      </c>
      <c r="E23" s="10">
        <f>IF(D23&gt;B23,0,D23)</f>
        <v>100000000</v>
      </c>
      <c r="F23" s="10">
        <f>IF(E23="not available",0,INT(E23*$F$6))</f>
        <v>3000000</v>
      </c>
      <c r="G23" s="10">
        <f>SUM($F$23:F23)</f>
        <v>3000000</v>
      </c>
      <c r="H23" s="10">
        <v>0</v>
      </c>
      <c r="I23" s="26">
        <f>IF(E23="not available",0,INT(D23*(1+$F$6)^4)+$I$18)</f>
        <v>638560963</v>
      </c>
      <c r="J23" s="10">
        <f>IF(B23=0,0,A23-D23*(1+$F$6)^4)</f>
        <v>141439037</v>
      </c>
      <c r="K23" s="21" t="s">
        <v>27</v>
      </c>
      <c r="L23" s="19">
        <f>IF(E23="not available",0,SUM(D23:D26))</f>
        <v>230319857</v>
      </c>
      <c r="M23" s="10">
        <f>IF(E23="not available",0,D23+F23+H23)</f>
        <v>103000000</v>
      </c>
      <c r="N23" s="7">
        <f>D23*(1+$H$6)^(12-C23+1)</f>
        <v>112550880.99999999</v>
      </c>
    </row>
    <row r="24" spans="1:15" x14ac:dyDescent="0.25">
      <c r="A24" s="22">
        <f>IF(D23&gt;B23,"oops!!",INT(J23))</f>
        <v>141439037</v>
      </c>
      <c r="B24" s="17">
        <f>IF(B23=0,0,IF(INT(A23-N23)&lt;=0,0,INT($A$24/(1+$F$6)^3)))</f>
        <v>129436755</v>
      </c>
      <c r="C24" s="5">
        <f t="shared" si="3"/>
        <v>10</v>
      </c>
      <c r="D24" s="29">
        <v>100000000</v>
      </c>
      <c r="E24" s="10">
        <f>IF(E23="not available",E23,IF(D24&gt;B24,0,D24+E23))</f>
        <v>200000000</v>
      </c>
      <c r="F24" s="10">
        <f>IF(OR(D24&gt;B24,F23=0),0,INT(E24*$F$6))</f>
        <v>6000000</v>
      </c>
      <c r="G24" s="10">
        <f>SUM($F$23:F24)</f>
        <v>9000000</v>
      </c>
      <c r="H24" s="10">
        <f>INT($H$6*SUM($G$23:G23))</f>
        <v>90000</v>
      </c>
      <c r="I24" s="26">
        <f>IF(E24="not available",0,INT(D24*(1+$F$6)^3)+$I$23)</f>
        <v>747833663</v>
      </c>
      <c r="J24" s="10">
        <f>IF(B24=0,J23,A24-D24*(1+$F$6)^3)</f>
        <v>32166337</v>
      </c>
      <c r="K24" s="21" t="s">
        <v>28</v>
      </c>
      <c r="L24" s="19">
        <f>SUM(F23:F26)+H26</f>
        <v>23670058</v>
      </c>
      <c r="M24" s="10">
        <f>D24+F24+H24-H23</f>
        <v>106090000</v>
      </c>
      <c r="N24" s="7">
        <f>D24*(1+$H$6)^(12-C24+1)</f>
        <v>109272700</v>
      </c>
    </row>
    <row r="25" spans="1:15" x14ac:dyDescent="0.25">
      <c r="A25" s="11">
        <f>IF(A24="oops!!","oops!!",IF(D24&gt;B24,"oops!!",INT(J24)))</f>
        <v>32166337</v>
      </c>
      <c r="B25" s="17">
        <f>IF(B24=0,0,IF(INT(A24-N24)&lt;=0,0,INT($A$25/(1+$F$6)^2)))</f>
        <v>30319857</v>
      </c>
      <c r="C25" s="5">
        <f t="shared" si="3"/>
        <v>11</v>
      </c>
      <c r="D25" s="29">
        <v>30319857</v>
      </c>
      <c r="E25" s="10">
        <f>IF(E24="not available",E24,IF(D25&gt;B25,0,D25+E24))</f>
        <v>230319857</v>
      </c>
      <c r="F25" s="10">
        <f>IF(OR(D25&gt;B25,F24=0),0,INT(E25*$F$6))</f>
        <v>6909595</v>
      </c>
      <c r="G25" s="10">
        <f>SUM($F$23:F25)</f>
        <v>15909595</v>
      </c>
      <c r="H25" s="10">
        <f>INT($H$6*SUM($G$23:G24)+$H$6*SUM($H$23:H24))</f>
        <v>362700</v>
      </c>
      <c r="I25" s="26">
        <f>IF(E25="not available",0,INT(D25*(1+$F$6)^2)+$I$24)</f>
        <v>779999999</v>
      </c>
      <c r="J25" s="10">
        <f>IF(B25=0,J24,A25-D25*(1+$F$6)^2)</f>
        <v>0.70870000123977661</v>
      </c>
      <c r="K25" s="25" t="s">
        <v>20</v>
      </c>
      <c r="L25" s="24">
        <f>L23+L24</f>
        <v>253989915</v>
      </c>
      <c r="M25" s="10">
        <f>D25+F25+H25-H24</f>
        <v>37502152</v>
      </c>
      <c r="N25" s="7">
        <f>D25*(1+$H$6)^(12-C25+1)</f>
        <v>32166336.291299999</v>
      </c>
    </row>
    <row r="26" spans="1:15" x14ac:dyDescent="0.25">
      <c r="A26" s="11">
        <f>IF(A25="oops!!","oops!!",IF(D25&gt;B25,"oops!!",INT(J25)))</f>
        <v>0</v>
      </c>
      <c r="B26" s="17">
        <f>IF(B25=0,0,IF(INT(A25-N25)&lt;=0,0,INT($A$26/(1+$F$6)^1)))</f>
        <v>0</v>
      </c>
      <c r="C26" s="5">
        <f t="shared" si="3"/>
        <v>12</v>
      </c>
      <c r="D26" s="29">
        <v>0</v>
      </c>
      <c r="E26" s="10">
        <f>IF(E25="not available",E25,IF(D26&gt;B26,0,D26+E25))</f>
        <v>230319857</v>
      </c>
      <c r="F26" s="10">
        <f>IF(OR(D26&gt;B26,F25=0),0,INT(E26*$F$6))</f>
        <v>6909595</v>
      </c>
      <c r="G26" s="10">
        <f>SUM($F$23:F26)</f>
        <v>22819190</v>
      </c>
      <c r="H26" s="10">
        <f>INT($H$6*SUM($G$23:G25)+$H$6*SUM($H$23:H25))</f>
        <v>850868</v>
      </c>
      <c r="I26" s="26">
        <f>IF(E26="not available",0,INT(D26*(1+$F$6)^1)+$I$25)</f>
        <v>779999999</v>
      </c>
      <c r="J26" s="10">
        <f>IF(B26=0,J25,A26-D26*(1+$F$6)^1)</f>
        <v>0.70870000123977661</v>
      </c>
      <c r="K26" s="22" t="s">
        <v>26</v>
      </c>
      <c r="L26" s="60">
        <f>IF(E23="not available",0,IF(L18-L23-L24&lt;0,"oops!!",L18-L23-L24))</f>
        <v>3</v>
      </c>
      <c r="M26" s="10">
        <f>D26+F26+H26-H25</f>
        <v>7397763</v>
      </c>
      <c r="N26" s="7">
        <f>D26*(1+$H$6)^(12-C26+1)</f>
        <v>0</v>
      </c>
    </row>
    <row r="27" spans="1:15" x14ac:dyDescent="0.25">
      <c r="A27" s="25" t="s">
        <v>55</v>
      </c>
      <c r="B27" s="58">
        <f>IF(L26&lt;0,"something wrong",L26)</f>
        <v>3</v>
      </c>
      <c r="C27" s="3"/>
      <c r="D27" s="72">
        <f>SUM(D23:D26)</f>
        <v>230319857</v>
      </c>
      <c r="E27" s="66">
        <f>E26</f>
        <v>230319857</v>
      </c>
      <c r="F27" s="66">
        <f>IF(OR(E27="not available",B27="something wrong"),0,SUM(F7:F26))</f>
        <v>67219190</v>
      </c>
      <c r="G27" s="67">
        <f>G26</f>
        <v>22819190</v>
      </c>
      <c r="H27" s="66">
        <f>INT($H$6*SUM($G$23:G26)+$H$6*SUM($H$23:H26))</f>
        <v>1560970</v>
      </c>
      <c r="I27" s="67">
        <f>I26</f>
        <v>779999999</v>
      </c>
      <c r="J27" s="67">
        <f>J26</f>
        <v>0.70870000123977661</v>
      </c>
      <c r="K27" s="67"/>
      <c r="L27" s="68">
        <f>L18-L23-L24</f>
        <v>3</v>
      </c>
      <c r="M27" s="13">
        <f>SUM(M23:M26)</f>
        <v>253989915</v>
      </c>
      <c r="N27" s="7">
        <f>SUM(N23:N26)</f>
        <v>253989917.2913</v>
      </c>
    </row>
    <row r="28" spans="1:15" x14ac:dyDescent="0.25">
      <c r="D28" s="21">
        <f>D11+D19+D27</f>
        <v>710319857</v>
      </c>
      <c r="E28" s="4"/>
      <c r="F28" s="4"/>
      <c r="G28" s="69" t="s">
        <v>8</v>
      </c>
      <c r="H28" s="70">
        <f>IF(A21&gt;=K5,0,IF(OR(E27="not available",B27="something wrong",B27="oops!!"),L8+L16+L24,I27-D28))</f>
        <v>69680142</v>
      </c>
      <c r="I28" s="56">
        <f>IF(OR(D28=0,D28=""),0,H28/(H28+H29))</f>
        <v>8.9333515499145533E-2</v>
      </c>
      <c r="J28" s="71"/>
      <c r="K28" s="23" t="s">
        <v>32</v>
      </c>
      <c r="L28" s="62">
        <f>IF(L7+L8+L15+L16+L23+L24&gt;K5,"something wrong",L7+L8+L15+L16+L23+L24)</f>
        <v>779999997</v>
      </c>
      <c r="M28" s="59">
        <f>IF(SUM(M7:M10)+SUM(M15:M18)+SUM(M23:M26)&gt;K5,"data error",SUM(M7:M10)+SUM(M15:M18)+SUM(M23:M26))</f>
        <v>779999997</v>
      </c>
      <c r="N28" s="31">
        <f>IF(OR(B27="oops!!",J27&lt;0),"data error",SUM(N7:N10)+SUM(N15:N18)+SUM(N23:N26))</f>
        <v>779999999.29130006</v>
      </c>
      <c r="O28" s="7"/>
    </row>
    <row r="29" spans="1:15" x14ac:dyDescent="0.25">
      <c r="B29" s="30"/>
      <c r="G29" s="46" t="s">
        <v>57</v>
      </c>
      <c r="H29" s="65">
        <f>L7+L15+L23</f>
        <v>710319857</v>
      </c>
      <c r="N29" s="64"/>
    </row>
    <row r="31" spans="1:15" x14ac:dyDescent="0.25">
      <c r="H31" s="35"/>
    </row>
    <row r="32" spans="1:15" x14ac:dyDescent="0.25">
      <c r="H32" s="35"/>
    </row>
  </sheetData>
  <mergeCells count="10">
    <mergeCell ref="M4:N4"/>
    <mergeCell ref="K5:L5"/>
    <mergeCell ref="M5:N5"/>
    <mergeCell ref="K6:L6"/>
    <mergeCell ref="F13:G13"/>
    <mergeCell ref="K14:L14"/>
    <mergeCell ref="F21:G21"/>
    <mergeCell ref="K22:L22"/>
    <mergeCell ref="F4:G4"/>
    <mergeCell ref="K4:L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PREMI</vt:lpstr>
      <vt:lpstr>VALORI</vt:lpstr>
      <vt:lpstr>TAB-01</vt:lpstr>
      <vt:lpstr>TAB-02</vt:lpstr>
      <vt:lpstr>TAB-03</vt:lpstr>
      <vt:lpstr>TAB-04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silvana invernizzi</dc:creator>
  <cp:lastModifiedBy>Utente</cp:lastModifiedBy>
  <dcterms:created xsi:type="dcterms:W3CDTF">2025-10-03T12:13:37Z</dcterms:created>
  <dcterms:modified xsi:type="dcterms:W3CDTF">2026-05-28T16:10:01Z</dcterms:modified>
</cp:coreProperties>
</file>